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20" yWindow="-120" windowWidth="24240" windowHeight="13140" firstSheet="3" activeTab="3"/>
  </bookViews>
  <sheets>
    <sheet name="ISCRITTI A.S. 2018-2019" sheetId="1" r:id="rId1"/>
    <sheet name="MENSA" sheetId="2" r:id="rId2"/>
    <sheet name="SPESE GENERALI " sheetId="10" r:id="rId3"/>
    <sheet name="SCUOLABUS" sheetId="3" r:id="rId4"/>
    <sheet name="SPESE PER SCUOLE" sheetId="4" r:id="rId5"/>
    <sheet name="DOPOSCUOLA" sheetId="7" r:id="rId6"/>
    <sheet name="PERSONALE 2018" sheetId="5" r:id="rId7"/>
    <sheet name="RIEPILOGO" sheetId="8" r:id="rId8"/>
    <sheet name="IPOTESI DI RIPARTO 48750" sheetId="9" r:id="rId9"/>
  </sheets>
  <calcPr calcId="101716"/>
  <fileRecoveryPr autoRecover="0"/>
</workbook>
</file>

<file path=xl/calcChain.xml><?xml version="1.0" encoding="utf-8"?>
<calcChain xmlns="http://schemas.openxmlformats.org/spreadsheetml/2006/main">
  <c r="B45" i="3"/>
  <c r="B47"/>
  <c r="F36"/>
  <c r="F34"/>
  <c r="B33" i="7"/>
  <c r="B31"/>
  <c r="F19"/>
  <c r="F17"/>
  <c r="L14" i="2"/>
  <c r="C14"/>
  <c r="O25"/>
  <c r="O23"/>
  <c r="F24"/>
  <c r="F22"/>
  <c r="D31" i="10"/>
  <c r="D30"/>
  <c r="D29"/>
  <c r="D28"/>
  <c r="D27"/>
  <c r="D26"/>
  <c r="F23"/>
  <c r="C41" i="2"/>
  <c r="C49"/>
  <c r="H8" i="8"/>
  <c r="H16"/>
  <c r="H12"/>
  <c r="H10"/>
  <c r="H6"/>
  <c r="B29" i="7"/>
  <c r="B27"/>
  <c r="F11"/>
  <c r="F9"/>
  <c r="F7"/>
  <c r="E14"/>
  <c r="F13"/>
  <c r="F14"/>
  <c r="B19"/>
  <c r="B11"/>
  <c r="C86" i="5"/>
  <c r="E83"/>
  <c r="E77"/>
  <c r="E85"/>
  <c r="E79"/>
  <c r="E81"/>
  <c r="E75"/>
  <c r="E86"/>
  <c r="C36" i="3"/>
  <c r="C35"/>
  <c r="M11"/>
  <c r="M15"/>
  <c r="M17" i="8"/>
  <c r="L17"/>
  <c r="K17"/>
  <c r="I17"/>
  <c r="E17"/>
  <c r="C17"/>
  <c r="B8"/>
  <c r="K45" i="4"/>
  <c r="I29"/>
  <c r="L27"/>
  <c r="K15"/>
  <c r="C39"/>
  <c r="C31"/>
  <c r="C13"/>
  <c r="F11"/>
  <c r="E15"/>
  <c r="Q7" i="3"/>
  <c r="P18"/>
  <c r="E18"/>
  <c r="M21"/>
  <c r="M23"/>
  <c r="Q9"/>
  <c r="C21"/>
  <c r="C15"/>
  <c r="C23"/>
  <c r="E70" i="5"/>
  <c r="H15"/>
  <c r="C71"/>
  <c r="E64"/>
  <c r="H11"/>
  <c r="E12"/>
  <c r="E8"/>
  <c r="E4"/>
  <c r="C15"/>
  <c r="E10"/>
  <c r="L42" i="2"/>
  <c r="L26"/>
  <c r="C25"/>
  <c r="L15"/>
  <c r="C15"/>
  <c r="G8" i="8"/>
  <c r="G12"/>
  <c r="G10"/>
  <c r="G6"/>
  <c r="L35" i="2"/>
  <c r="L49"/>
  <c r="R34"/>
  <c r="S49"/>
  <c r="S50"/>
  <c r="N42"/>
  <c r="N17"/>
  <c r="F13" i="4"/>
  <c r="F7"/>
  <c r="F9"/>
  <c r="Q12" i="3"/>
  <c r="Q18"/>
  <c r="Q14"/>
  <c r="Q16"/>
  <c r="L29" i="4"/>
  <c r="L21"/>
  <c r="L25"/>
  <c r="F14" i="3"/>
  <c r="D12" i="8"/>
  <c r="F12" i="3"/>
  <c r="F9"/>
  <c r="B43"/>
  <c r="D10" i="8"/>
  <c r="F16" i="3"/>
  <c r="D14" i="8"/>
  <c r="F7" i="3"/>
  <c r="E66" i="5"/>
  <c r="H13"/>
  <c r="E6"/>
  <c r="E14"/>
  <c r="E60"/>
  <c r="H7"/>
  <c r="E68"/>
  <c r="H17"/>
  <c r="E62"/>
  <c r="H9"/>
  <c r="C57"/>
  <c r="I39" i="4"/>
  <c r="F42"/>
  <c r="F38"/>
  <c r="F36"/>
  <c r="F34"/>
  <c r="O37" i="2"/>
  <c r="O33"/>
  <c r="O31"/>
  <c r="O39"/>
  <c r="L36" i="4"/>
  <c r="L42"/>
  <c r="B54"/>
  <c r="F8" i="8"/>
  <c r="L34" i="4"/>
  <c r="L40"/>
  <c r="L38"/>
  <c r="B49" i="3"/>
  <c r="D8" i="8"/>
  <c r="B41" i="3"/>
  <c r="F18"/>
  <c r="L30" i="4"/>
  <c r="E56" i="5"/>
  <c r="E48"/>
  <c r="E54"/>
  <c r="E46"/>
  <c r="E52"/>
  <c r="E50"/>
  <c r="E71"/>
  <c r="O42" i="2"/>
  <c r="E15" i="5"/>
  <c r="L44" i="4"/>
  <c r="B52" i="3"/>
  <c r="D6" i="8"/>
  <c r="E57" i="5"/>
  <c r="F9" i="2"/>
  <c r="F14"/>
  <c r="F7"/>
  <c r="F16"/>
  <c r="B18" i="9"/>
  <c r="D11"/>
  <c r="C32" i="10"/>
  <c r="D15" i="9"/>
  <c r="D12"/>
  <c r="D16"/>
  <c r="D13"/>
  <c r="D14"/>
  <c r="B62" i="2"/>
  <c r="B60"/>
  <c r="D17" i="8"/>
  <c r="O7" i="2"/>
  <c r="B58"/>
  <c r="O16"/>
  <c r="B64"/>
  <c r="O14"/>
  <c r="O9"/>
  <c r="F40" i="4"/>
  <c r="F27"/>
  <c r="F23"/>
  <c r="F31"/>
  <c r="F29"/>
  <c r="F40" i="2"/>
  <c r="B14" i="8"/>
  <c r="F37" i="2"/>
  <c r="B12" i="8"/>
  <c r="F33" i="2"/>
  <c r="B10" i="8"/>
  <c r="F31" i="2"/>
  <c r="B6" i="8"/>
  <c r="F44" i="4"/>
  <c r="B17" i="8"/>
  <c r="F32" i="4"/>
  <c r="F42" i="2"/>
  <c r="F15" i="4"/>
  <c r="F17" i="2"/>
  <c r="G16" i="8"/>
  <c r="G14"/>
  <c r="G17"/>
  <c r="D32" i="10"/>
  <c r="I13" i="4"/>
  <c r="L7"/>
  <c r="B46"/>
  <c r="L11"/>
  <c r="B50"/>
  <c r="L13"/>
  <c r="L9"/>
  <c r="B48"/>
  <c r="F10" i="8"/>
  <c r="E45" i="4"/>
  <c r="B52"/>
  <c r="F14" i="8"/>
  <c r="F6"/>
  <c r="L15" i="4"/>
  <c r="F12" i="8"/>
  <c r="C43" i="5"/>
  <c r="B57" i="4"/>
  <c r="F17" i="8"/>
  <c r="E38" i="5"/>
  <c r="E36"/>
  <c r="E42"/>
  <c r="E34"/>
  <c r="E40"/>
  <c r="E32"/>
  <c r="B15" i="3"/>
  <c r="E43" i="5"/>
  <c r="C29"/>
  <c r="E28"/>
  <c r="J14" i="8"/>
  <c r="E20" i="5"/>
  <c r="J8" i="8"/>
  <c r="O8"/>
  <c r="F12" i="9"/>
  <c r="H12"/>
  <c r="E18" i="5"/>
  <c r="E26"/>
  <c r="J16" i="8"/>
  <c r="O16"/>
  <c r="F16" i="9"/>
  <c r="G16"/>
  <c r="E24" i="5"/>
  <c r="J12" i="8"/>
  <c r="O12"/>
  <c r="F14" i="9"/>
  <c r="H14"/>
  <c r="E22" i="5"/>
  <c r="J10" i="8"/>
  <c r="O10"/>
  <c r="F13" i="9"/>
  <c r="H13"/>
  <c r="H14" i="8"/>
  <c r="H17"/>
  <c r="O14"/>
  <c r="F15" i="9"/>
  <c r="H15"/>
  <c r="E29" i="5"/>
  <c r="E73"/>
  <c r="J6" i="8"/>
  <c r="H18" i="5"/>
  <c r="D36" i="1"/>
  <c r="J17" i="8"/>
  <c r="O6"/>
  <c r="B48" i="1"/>
  <c r="I7"/>
  <c r="D22"/>
  <c r="B31"/>
  <c r="B17"/>
  <c r="O17" i="8"/>
  <c r="F11" i="9"/>
  <c r="G11"/>
</calcChain>
</file>

<file path=xl/sharedStrings.xml><?xml version="1.0" encoding="utf-8"?>
<sst xmlns="http://schemas.openxmlformats.org/spreadsheetml/2006/main" count="409" uniqueCount="170">
  <si>
    <t>ROSIGNANO</t>
  </si>
  <si>
    <t>SCUOLA PRIMARIA ROSIGNANO</t>
  </si>
  <si>
    <t>CELLA MONTE</t>
  </si>
  <si>
    <t>FRASSINELLO</t>
  </si>
  <si>
    <t>ALTRI</t>
  </si>
  <si>
    <t>OTTIGLIO</t>
  </si>
  <si>
    <t xml:space="preserve"> </t>
  </si>
  <si>
    <t>SCUOLA INFANZIA CELLAMONTE</t>
  </si>
  <si>
    <t>SCUOLA PRIMARIA FRASSINELLO</t>
  </si>
  <si>
    <t>SCUOLA SECONDARIA S. Mrtino</t>
  </si>
  <si>
    <t>S. GIORGIO</t>
  </si>
  <si>
    <t>MENSE</t>
  </si>
  <si>
    <t>CASA RIPOSO (CAP, 1466)</t>
  </si>
  <si>
    <t>IDROGEOLAB</t>
  </si>
  <si>
    <t>SPESE SOSTENUTE DALL'UNIONE</t>
  </si>
  <si>
    <t>TOTALE</t>
  </si>
  <si>
    <t>N.B. AL NETTO DEL COSTO CUOCA</t>
  </si>
  <si>
    <t>ASSICURAZIONE  SCUOLABUS</t>
  </si>
  <si>
    <t>DIMAR</t>
  </si>
  <si>
    <t>A DEDURRE BUONI PASTO</t>
  </si>
  <si>
    <t>RETTE MATERNA</t>
  </si>
  <si>
    <t>RETTE MEDIE</t>
  </si>
  <si>
    <t>RETTE ELEMENTARI</t>
  </si>
  <si>
    <t>TOTALE INCASSI</t>
  </si>
  <si>
    <t>SPESE</t>
  </si>
  <si>
    <t>ALUNNI ISCRITTI</t>
  </si>
  <si>
    <t>QUOTA PARTE</t>
  </si>
  <si>
    <t>A DEDURRE</t>
  </si>
  <si>
    <t>PERSONALE</t>
  </si>
  <si>
    <t>SAN GIORGIO</t>
  </si>
  <si>
    <t>RASO</t>
  </si>
  <si>
    <t>RIPARTO</t>
  </si>
  <si>
    <t>SPESE PERSONALE UNIONE</t>
  </si>
  <si>
    <t>ABIT</t>
  </si>
  <si>
    <t>MARTINELLI</t>
  </si>
  <si>
    <t>(SPESA SOSTENUTA DA CELLA M., DA RIMBORSARE)</t>
  </si>
  <si>
    <t xml:space="preserve">TOTALE </t>
  </si>
  <si>
    <t>TOTALE SPESA</t>
  </si>
  <si>
    <t>SPESA NETTA</t>
  </si>
  <si>
    <t>ATTIVITA' DIDATTICA INTEVRATIVA</t>
  </si>
  <si>
    <t>RIEPILOGO</t>
  </si>
  <si>
    <t>SALDO</t>
  </si>
  <si>
    <t>CARBURANTE SCUOLABUS</t>
  </si>
  <si>
    <t>N.B. AL NETTO DEL COSTO AUTISTA E CARBURANTE</t>
  </si>
  <si>
    <t>(1)</t>
  </si>
  <si>
    <t>(3)</t>
  </si>
  <si>
    <t>(SPESA SOSTENUTA DA ROSIGNANO., DA RIMBORSARE)</t>
  </si>
  <si>
    <t>CELORIA</t>
  </si>
  <si>
    <t>AUTISTA ROSIGNANO</t>
  </si>
  <si>
    <t>spese sostenute dall'unione</t>
  </si>
  <si>
    <t>spese sostenute da comune Rosignano</t>
  </si>
  <si>
    <t>sostenute dall'Unione</t>
  </si>
  <si>
    <t>NON MI RISULTANO SPESE</t>
  </si>
  <si>
    <t>MATERNA CELLA MONTE</t>
  </si>
  <si>
    <t>IPOTESI DI RIPARTO (PER ABITANTI)</t>
  </si>
  <si>
    <t>COMUNI</t>
  </si>
  <si>
    <t>ABITANTI</t>
  </si>
  <si>
    <t>SAN GIORGIO MONFERRATO</t>
  </si>
  <si>
    <t>FRASSINELLO MONFERRATO</t>
  </si>
  <si>
    <t>ROSIGNANO MONFERRATO</t>
  </si>
  <si>
    <t>IMPORTO</t>
  </si>
  <si>
    <t>SPESE DA DEDURRE</t>
  </si>
  <si>
    <t>(SPESA SOSTENUTA DA OTTIGLIO, DA RIMBORSARE)</t>
  </si>
  <si>
    <t>CASA DI RIPOSO</t>
  </si>
  <si>
    <t>INFORMA PER CEDOLINI</t>
  </si>
  <si>
    <t>H&amp;C SRL (CENTRALE TERMICA)</t>
  </si>
  <si>
    <t>GUERRINA (NOLEGGIO FOTOCOPIATRICE)</t>
  </si>
  <si>
    <t>ANTONELLI ELISA (INTOLLERANZE ALIM)</t>
  </si>
  <si>
    <t>GRAFICHE E GASPARI (ACQUISTO BLOCCH. MENSA)</t>
  </si>
  <si>
    <t>LA DISPENSA</t>
  </si>
  <si>
    <t>BIASI DINO</t>
  </si>
  <si>
    <t>BYEM</t>
  </si>
  <si>
    <t>BRICO</t>
  </si>
  <si>
    <t>SPESE GENERALI DI GESTIONE</t>
  </si>
  <si>
    <t>LAN SERVICE</t>
  </si>
  <si>
    <t>EPUBLIC</t>
  </si>
  <si>
    <t>FARMACIA SANTA BARBARA</t>
  </si>
  <si>
    <t>ANNO 2018</t>
  </si>
  <si>
    <t>H&amp;C SRL</t>
  </si>
  <si>
    <t>GUERRINA</t>
  </si>
  <si>
    <t xml:space="preserve"> NIDO CELLA MONTE</t>
  </si>
  <si>
    <t>SISCOM</t>
  </si>
  <si>
    <t>STAT TURISMO</t>
  </si>
  <si>
    <t>COPPO LORENZO</t>
  </si>
  <si>
    <t>BIEFFE</t>
  </si>
  <si>
    <t>ALLARA PRATICHE AUTO</t>
  </si>
  <si>
    <t>API</t>
  </si>
  <si>
    <t>BABANDO</t>
  </si>
  <si>
    <t>DEGRAFIC(STAMPE TSHIRT OLIMPIADI)</t>
  </si>
  <si>
    <t>DEGRAFIC</t>
  </si>
  <si>
    <t>EUROSERVIZI (ACQUISTO MATERIALE)</t>
  </si>
  <si>
    <t xml:space="preserve">CELLA MONTE NIDO </t>
  </si>
  <si>
    <t>RIMBORSO CARBURANTE ROSIGNANO</t>
  </si>
  <si>
    <t>A CREDITO</t>
  </si>
  <si>
    <t>SCUOLA SECONDARIA S. Martino</t>
  </si>
  <si>
    <t>LA DISPENSA (acquisto alimenti)QUOTA PARTE</t>
  </si>
  <si>
    <t>ACI PRA</t>
  </si>
  <si>
    <t>ANCITEL</t>
  </si>
  <si>
    <t>GRAFICHE E GASPERI (CORSO ON LINE ANTICORRUZ)</t>
  </si>
  <si>
    <t>ALPINI (PROT.CIVILE)</t>
  </si>
  <si>
    <t>SPESE DI TESORERIA</t>
  </si>
  <si>
    <t>PUBBLITALIA</t>
  </si>
  <si>
    <t>UNIPOL ASSICURAZ.(AUTOCARRO VIGILANZA)</t>
  </si>
  <si>
    <t>APS SCODELLAMENTO</t>
  </si>
  <si>
    <t xml:space="preserve"> DEAMBROSIS</t>
  </si>
  <si>
    <t>RENDICONTATE DA CELLA MONTE</t>
  </si>
  <si>
    <t>AUTORIPARAZIONE BOLTRI</t>
  </si>
  <si>
    <t>LA DISPENSA (acquisto alimenti)QUOTA PARTE SU N. 24 ALUNNI</t>
  </si>
  <si>
    <t>ALUNNI A,S, 2018/2019</t>
  </si>
  <si>
    <t>DAL 12/09/2018 AL 31/12/2018</t>
  </si>
  <si>
    <t>DAL 01/01/2019 AL 19/09/2019</t>
  </si>
  <si>
    <t xml:space="preserve">DIMAR </t>
  </si>
  <si>
    <t>DOPOSCUOLA</t>
  </si>
  <si>
    <t>REVISORE (SICA LUIGI)</t>
  </si>
  <si>
    <t xml:space="preserve">COSTO AUTISTA ROSIGNANO </t>
  </si>
  <si>
    <t>MENSA A.S. 2018/2019</t>
  </si>
  <si>
    <t>AUTISTA CELLA MONTE Mazzucco M.</t>
  </si>
  <si>
    <t>totale</t>
  </si>
  <si>
    <t>RIVALTA CARLA</t>
  </si>
  <si>
    <t>GRIGO' ALESSANDRO</t>
  </si>
  <si>
    <t>CAMAGNA</t>
  </si>
  <si>
    <t>(SPESA SOSTENUTA DA CAMAGNA, DA RIMBORSARE)</t>
  </si>
  <si>
    <t>SPESE SOSTENUTE DALL'UNIONE 2018</t>
  </si>
  <si>
    <t>PROVENTI 2018/2019</t>
  </si>
  <si>
    <t>SCUOLABUS A.S. 2018/2019</t>
  </si>
  <si>
    <t>SPESE PER SCUOLE A.S. 2018/2019</t>
  </si>
  <si>
    <t>SPESE GENERALI ANNO 2018</t>
  </si>
  <si>
    <t>DOPOSCUOLA A.S. 2018/2019</t>
  </si>
  <si>
    <t>PERSONALE 2018</t>
  </si>
  <si>
    <t>ok</t>
  </si>
  <si>
    <t xml:space="preserve">OTTIGLIO </t>
  </si>
  <si>
    <t>OK</t>
  </si>
  <si>
    <t>SOLO ROSIGNANO, CELLA MONTE,FRASSINELLO, SAN GIORGIO</t>
  </si>
  <si>
    <t>AB 2018</t>
  </si>
  <si>
    <t>AUTISTA CELLA MONTE SENAPE</t>
  </si>
  <si>
    <t xml:space="preserve">QUOTA PARTE CUOCA </t>
  </si>
  <si>
    <t>SENAPE SERVIZI SCOLASTICI</t>
  </si>
  <si>
    <t>STIPENDIO ANNUO CAVAGNOLO COMPRENSIVO O.R.</t>
  </si>
  <si>
    <t>COSTO MENSA RIPARTITO PER COMUNI A.S. 2018/19</t>
  </si>
  <si>
    <t xml:space="preserve">APS </t>
  </si>
  <si>
    <t>TOTALE COSTO</t>
  </si>
  <si>
    <t>COSTO AUTISTA CELLA M.  (n. 15h/sett)</t>
  </si>
  <si>
    <t>COSTO SCUOLABUS RIPARTITO PER COMUNI A.S.2018/19</t>
  </si>
  <si>
    <t>UTENZE RENDICONTATE DA ROSIGNANO 2018/19</t>
  </si>
  <si>
    <t>ACCONTI VERSATI NO</t>
  </si>
  <si>
    <t>CENTRI ESTIVI ANNO 2019 GESTITO DA SENAPE</t>
  </si>
  <si>
    <t>ASL 2018 COSTO DA RIMBORSARE ALLA PARI</t>
  </si>
  <si>
    <t>SCUOLABUS (scuola media,elementare,materna Rosignano e Cella Monte)</t>
  </si>
  <si>
    <t>DEAMBROSIS</t>
  </si>
  <si>
    <t>ALUNNI SCUOLABUS</t>
  </si>
  <si>
    <t>SENAPE  PER AUTISTA</t>
  </si>
  <si>
    <t>ASSICURAZIONE SCUOLABUS FRASSINELLO</t>
  </si>
  <si>
    <t>TOTALE SCUOLABUS FRASSINELLO</t>
  </si>
  <si>
    <t>CONTRIBUTO REGIONALE 2017</t>
  </si>
  <si>
    <t>ROVETTO MICHELA</t>
  </si>
  <si>
    <t>dall'1/11/18 al 31/12/18</t>
  </si>
  <si>
    <t xml:space="preserve">N.B. AL NETTO DEL COSTO AUTISTA </t>
  </si>
  <si>
    <t>sett, 18/dic,18</t>
  </si>
  <si>
    <t>genn,19/giug,19</t>
  </si>
  <si>
    <t>CONTRIBUTO DA EROGARE AI COMUNI</t>
  </si>
  <si>
    <t>QUOTA A CARICO DEI COMUNI</t>
  </si>
  <si>
    <t>totale alunni iscritti 38</t>
  </si>
  <si>
    <t>INDENNITA' GRIGO'</t>
  </si>
  <si>
    <t>INDENNITA' ORCIUOLI</t>
  </si>
  <si>
    <t>INDENNITA' ROVETTO</t>
  </si>
  <si>
    <t>Oneri riflessi</t>
  </si>
  <si>
    <t>(1) comprensivo di € 1000 per Alpini</t>
  </si>
  <si>
    <t>SCUOLABUS FRASSINELLO</t>
  </si>
  <si>
    <t xml:space="preserve">INCASSATO 48.750 </t>
  </si>
  <si>
    <t>N.B. NEL 2017 CAMAGNA NON PRESENTE IN UNIONE</t>
  </si>
</sst>
</file>

<file path=xl/styles.xml><?xml version="1.0" encoding="utf-8"?>
<styleSheet xmlns="http://schemas.openxmlformats.org/spreadsheetml/2006/main">
  <numFmts count="4">
    <numFmt numFmtId="8" formatCode="&quot;€&quot;\ #,##0.00;[Red]\-&quot;€&quot;\ #,##0.00"/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_-[$€-410]\ * #,##0.00_-;\-[$€-410]\ * #,##0.00_-;_-[$€-410]\ * &quot;-&quot;??_-;_-@_-"/>
  </numFmts>
  <fonts count="6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2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30"/>
      <name val="Calibri"/>
      <family val="2"/>
    </font>
    <font>
      <b/>
      <sz val="14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30"/>
      <name val="Calibri"/>
      <family val="2"/>
    </font>
    <font>
      <b/>
      <sz val="12"/>
      <color indexed="30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17"/>
      <name val="Calibri"/>
      <family val="2"/>
    </font>
    <font>
      <b/>
      <sz val="11"/>
      <name val="Calibri"/>
      <family val="2"/>
    </font>
    <font>
      <sz val="11"/>
      <color indexed="50"/>
      <name val="Calibri"/>
      <family val="2"/>
    </font>
    <font>
      <sz val="11"/>
      <color indexed="22"/>
      <name val="Calibri"/>
      <family val="2"/>
    </font>
    <font>
      <b/>
      <sz val="11"/>
      <color indexed="53"/>
      <name val="Calibri"/>
      <family val="2"/>
    </font>
    <font>
      <sz val="11"/>
      <color indexed="53"/>
      <name val="Calibri"/>
      <family val="2"/>
    </font>
    <font>
      <sz val="11"/>
      <color indexed="49"/>
      <name val="Calibri"/>
      <family val="2"/>
    </font>
    <font>
      <b/>
      <sz val="12"/>
      <color indexed="8"/>
      <name val="Calibri"/>
      <family val="2"/>
    </font>
    <font>
      <b/>
      <sz val="12"/>
      <name val="Calibri"/>
      <family val="2"/>
    </font>
    <font>
      <b/>
      <sz val="11"/>
      <color indexed="49"/>
      <name val="Calibri"/>
      <family val="2"/>
    </font>
    <font>
      <b/>
      <sz val="16"/>
      <color indexed="8"/>
      <name val="Calibri"/>
      <family val="2"/>
    </font>
    <font>
      <sz val="14"/>
      <color indexed="8"/>
      <name val="Calibri"/>
      <family val="2"/>
    </font>
    <font>
      <sz val="10"/>
      <color indexed="8"/>
      <name val="Calibri"/>
      <family val="2"/>
    </font>
    <font>
      <sz val="11"/>
      <color indexed="55"/>
      <name val="Calibri"/>
      <family val="2"/>
    </font>
    <font>
      <sz val="16"/>
      <color indexed="8"/>
      <name val="Calibri"/>
      <family val="2"/>
    </font>
    <font>
      <b/>
      <sz val="10"/>
      <color indexed="8"/>
      <name val="Calibri"/>
      <family val="2"/>
    </font>
    <font>
      <sz val="10"/>
      <color indexed="30"/>
      <name val="Calibri"/>
      <family val="2"/>
    </font>
    <font>
      <b/>
      <sz val="10"/>
      <color indexed="30"/>
      <name val="Calibri"/>
      <family val="2"/>
    </font>
    <font>
      <sz val="10"/>
      <color indexed="57"/>
      <name val="Calibri"/>
      <family val="2"/>
    </font>
    <font>
      <b/>
      <sz val="10"/>
      <color indexed="10"/>
      <name val="Calibri"/>
      <family val="2"/>
    </font>
    <font>
      <sz val="10"/>
      <color indexed="10"/>
      <name val="Calibri"/>
      <family val="2"/>
    </font>
    <font>
      <b/>
      <sz val="10"/>
      <color indexed="60"/>
      <name val="Calibri"/>
      <family val="2"/>
    </font>
    <font>
      <sz val="10"/>
      <color indexed="22"/>
      <name val="Calibri"/>
      <family val="2"/>
    </font>
    <font>
      <sz val="10"/>
      <color indexed="22"/>
      <name val="Calibri"/>
      <family val="2"/>
    </font>
    <font>
      <b/>
      <sz val="11"/>
      <color indexed="60"/>
      <name val="Calibri"/>
      <family val="2"/>
    </font>
    <font>
      <b/>
      <sz val="10"/>
      <name val="Calibri"/>
      <family val="2"/>
    </font>
    <font>
      <sz val="10"/>
      <color indexed="17"/>
      <name val="Calibri"/>
      <family val="2"/>
    </font>
    <font>
      <b/>
      <sz val="10"/>
      <color indexed="62"/>
      <name val="Calibri"/>
      <family val="2"/>
    </font>
    <font>
      <sz val="10"/>
      <color indexed="50"/>
      <name val="Calibri"/>
      <family val="2"/>
    </font>
    <font>
      <sz val="10"/>
      <color indexed="53"/>
      <name val="Calibri"/>
      <family val="2"/>
    </font>
    <font>
      <b/>
      <sz val="10"/>
      <color indexed="49"/>
      <name val="Calibri"/>
      <family val="2"/>
    </font>
    <font>
      <sz val="10"/>
      <color indexed="49"/>
      <name val="Calibri"/>
      <family val="2"/>
    </font>
    <font>
      <sz val="11"/>
      <color indexed="60"/>
      <name val="Calibri"/>
      <family val="2"/>
    </font>
    <font>
      <sz val="14"/>
      <color indexed="60"/>
      <name val="Calibri"/>
      <family val="2"/>
    </font>
    <font>
      <b/>
      <sz val="10"/>
      <color indexed="17"/>
      <name val="Calibri"/>
      <family val="2"/>
    </font>
    <font>
      <b/>
      <sz val="10"/>
      <color indexed="8"/>
      <name val="Calibri"/>
      <family val="2"/>
    </font>
    <font>
      <b/>
      <u/>
      <sz val="11"/>
      <color indexed="30"/>
      <name val="Calibri"/>
      <family val="2"/>
    </font>
    <font>
      <b/>
      <sz val="10"/>
      <color indexed="57"/>
      <name val="Calibri"/>
      <family val="2"/>
    </font>
    <font>
      <b/>
      <sz val="11"/>
      <color indexed="62"/>
      <name val="Calibri"/>
      <family val="2"/>
    </font>
    <font>
      <b/>
      <sz val="10"/>
      <color indexed="55"/>
      <name val="Calibri"/>
      <family val="2"/>
    </font>
    <font>
      <b/>
      <sz val="12"/>
      <color indexed="55"/>
      <name val="Calibri"/>
      <family val="2"/>
    </font>
    <font>
      <sz val="10"/>
      <color indexed="23"/>
      <name val="Calibri"/>
      <family val="2"/>
    </font>
    <font>
      <sz val="10"/>
      <color indexed="60"/>
      <name val="Calibri"/>
      <family val="2"/>
    </font>
    <font>
      <sz val="11"/>
      <color indexed="44"/>
      <name val="Calibri"/>
      <family val="2"/>
    </font>
    <font>
      <b/>
      <sz val="11"/>
      <color indexed="44"/>
      <name val="Calibri"/>
      <family val="2"/>
    </font>
    <font>
      <b/>
      <sz val="11"/>
      <color indexed="23"/>
      <name val="Calibri"/>
      <family val="2"/>
    </font>
    <font>
      <sz val="10"/>
      <color indexed="44"/>
      <name val="Calibri"/>
      <family val="2"/>
    </font>
    <font>
      <sz val="11"/>
      <color indexed="44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6" fillId="0" borderId="0" xfId="0" applyFont="1"/>
    <xf numFmtId="0" fontId="7" fillId="0" borderId="0" xfId="0" applyFont="1"/>
    <xf numFmtId="44" fontId="0" fillId="0" borderId="0" xfId="2" applyFont="1"/>
    <xf numFmtId="44" fontId="6" fillId="0" borderId="0" xfId="2" applyFont="1"/>
    <xf numFmtId="0" fontId="5" fillId="0" borderId="0" xfId="0" applyFont="1"/>
    <xf numFmtId="0" fontId="9" fillId="0" borderId="0" xfId="0" applyFont="1"/>
    <xf numFmtId="44" fontId="9" fillId="0" borderId="0" xfId="0" applyNumberFormat="1" applyFont="1"/>
    <xf numFmtId="0" fontId="10" fillId="0" borderId="0" xfId="0" applyFont="1"/>
    <xf numFmtId="0" fontId="0" fillId="0" borderId="0" xfId="0" applyFont="1"/>
    <xf numFmtId="0" fontId="14" fillId="0" borderId="0" xfId="0" applyFont="1"/>
    <xf numFmtId="44" fontId="15" fillId="0" borderId="0" xfId="2" applyFont="1"/>
    <xf numFmtId="0" fontId="15" fillId="0" borderId="0" xfId="0" applyFont="1"/>
    <xf numFmtId="0" fontId="18" fillId="0" borderId="0" xfId="0" applyFont="1"/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wrapText="1"/>
    </xf>
    <xf numFmtId="0" fontId="0" fillId="2" borderId="1" xfId="0" applyFill="1" applyBorder="1"/>
    <xf numFmtId="0" fontId="6" fillId="0" borderId="1" xfId="0" applyFont="1" applyBorder="1"/>
    <xf numFmtId="44" fontId="5" fillId="0" borderId="1" xfId="0" applyNumberFormat="1" applyFont="1" applyBorder="1"/>
    <xf numFmtId="44" fontId="0" fillId="0" borderId="1" xfId="0" applyNumberFormat="1" applyBorder="1"/>
    <xf numFmtId="44" fontId="5" fillId="0" borderId="1" xfId="2" applyFont="1" applyBorder="1"/>
    <xf numFmtId="44" fontId="0" fillId="2" borderId="1" xfId="0" applyNumberFormat="1" applyFill="1" applyBorder="1"/>
    <xf numFmtId="44" fontId="0" fillId="0" borderId="1" xfId="2" applyFont="1" applyBorder="1"/>
    <xf numFmtId="49" fontId="0" fillId="3" borderId="1" xfId="0" applyNumberFormat="1" applyFill="1" applyBorder="1"/>
    <xf numFmtId="44" fontId="12" fillId="2" borderId="1" xfId="0" applyNumberFormat="1" applyFont="1" applyFill="1" applyBorder="1"/>
    <xf numFmtId="49" fontId="1" fillId="4" borderId="1" xfId="0" applyNumberFormat="1" applyFont="1" applyFill="1" applyBorder="1" applyAlignment="1">
      <alignment horizont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1" xfId="0" applyFont="1" applyBorder="1"/>
    <xf numFmtId="0" fontId="0" fillId="3" borderId="0" xfId="0" applyFont="1" applyFill="1"/>
    <xf numFmtId="44" fontId="6" fillId="0" borderId="1" xfId="2" applyFont="1" applyBorder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4" fontId="1" fillId="0" borderId="1" xfId="2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/>
    <xf numFmtId="0" fontId="11" fillId="0" borderId="1" xfId="0" applyFont="1" applyBorder="1"/>
    <xf numFmtId="0" fontId="1" fillId="0" borderId="1" xfId="0" applyFont="1" applyBorder="1"/>
    <xf numFmtId="0" fontId="9" fillId="0" borderId="1" xfId="0" applyFont="1" applyBorder="1"/>
    <xf numFmtId="0" fontId="17" fillId="0" borderId="1" xfId="0" applyFont="1" applyBorder="1"/>
    <xf numFmtId="0" fontId="18" fillId="0" borderId="1" xfId="0" applyFont="1" applyBorder="1"/>
    <xf numFmtId="0" fontId="16" fillId="0" borderId="1" xfId="0" applyFont="1" applyBorder="1"/>
    <xf numFmtId="0" fontId="1" fillId="0" borderId="1" xfId="0" applyFont="1" applyBorder="1" applyAlignment="1">
      <alignment wrapText="1"/>
    </xf>
    <xf numFmtId="0" fontId="8" fillId="0" borderId="1" xfId="0" applyFont="1" applyBorder="1"/>
    <xf numFmtId="44" fontId="8" fillId="0" borderId="1" xfId="2" applyFont="1" applyBorder="1"/>
    <xf numFmtId="0" fontId="5" fillId="0" borderId="1" xfId="0" applyFont="1" applyBorder="1"/>
    <xf numFmtId="44" fontId="9" fillId="0" borderId="1" xfId="0" applyNumberFormat="1" applyFont="1" applyBorder="1"/>
    <xf numFmtId="0" fontId="12" fillId="0" borderId="1" xfId="0" applyFont="1" applyBorder="1"/>
    <xf numFmtId="44" fontId="12" fillId="0" borderId="1" xfId="2" applyFont="1" applyBorder="1"/>
    <xf numFmtId="0" fontId="5" fillId="3" borderId="1" xfId="0" applyFont="1" applyFill="1" applyBorder="1"/>
    <xf numFmtId="44" fontId="5" fillId="3" borderId="1" xfId="2" applyFont="1" applyFill="1" applyBorder="1"/>
    <xf numFmtId="0" fontId="21" fillId="0" borderId="1" xfId="0" applyFont="1" applyBorder="1"/>
    <xf numFmtId="44" fontId="20" fillId="0" borderId="1" xfId="2" applyFont="1" applyBorder="1"/>
    <xf numFmtId="0" fontId="13" fillId="0" borderId="1" xfId="0" applyFont="1" applyBorder="1"/>
    <xf numFmtId="44" fontId="13" fillId="0" borderId="1" xfId="2" applyFont="1" applyBorder="1"/>
    <xf numFmtId="0" fontId="0" fillId="3" borderId="1" xfId="0" applyFill="1" applyBorder="1"/>
    <xf numFmtId="0" fontId="20" fillId="0" borderId="1" xfId="0" applyFont="1" applyBorder="1"/>
    <xf numFmtId="44" fontId="15" fillId="0" borderId="1" xfId="2" applyFont="1" applyBorder="1"/>
    <xf numFmtId="0" fontId="15" fillId="0" borderId="1" xfId="0" applyFont="1" applyBorder="1" applyAlignment="1">
      <alignment wrapText="1"/>
    </xf>
    <xf numFmtId="0" fontId="15" fillId="0" borderId="1" xfId="0" applyFont="1" applyBorder="1"/>
    <xf numFmtId="44" fontId="11" fillId="0" borderId="1" xfId="0" applyNumberFormat="1" applyFont="1" applyBorder="1"/>
    <xf numFmtId="0" fontId="22" fillId="0" borderId="1" xfId="0" applyFont="1" applyBorder="1"/>
    <xf numFmtId="0" fontId="26" fillId="0" borderId="0" xfId="0" applyFont="1"/>
    <xf numFmtId="44" fontId="1" fillId="0" borderId="0" xfId="2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4" fontId="1" fillId="0" borderId="1" xfId="2" applyFont="1" applyBorder="1"/>
    <xf numFmtId="0" fontId="27" fillId="0" borderId="0" xfId="0" applyFont="1"/>
    <xf numFmtId="0" fontId="1" fillId="0" borderId="0" xfId="0" applyFont="1" applyBorder="1" applyAlignment="1">
      <alignment wrapText="1"/>
    </xf>
    <xf numFmtId="44" fontId="11" fillId="0" borderId="1" xfId="2" applyFont="1" applyBorder="1"/>
    <xf numFmtId="0" fontId="15" fillId="0" borderId="0" xfId="0" applyFont="1" applyBorder="1"/>
    <xf numFmtId="44" fontId="15" fillId="0" borderId="0" xfId="2" applyFont="1" applyBorder="1"/>
    <xf numFmtId="44" fontId="14" fillId="0" borderId="0" xfId="2" applyFont="1"/>
    <xf numFmtId="44" fontId="0" fillId="0" borderId="2" xfId="2" applyFont="1" applyBorder="1"/>
    <xf numFmtId="44" fontId="0" fillId="0" borderId="0" xfId="0" applyNumberFormat="1"/>
    <xf numFmtId="0" fontId="28" fillId="0" borderId="0" xfId="0" applyFont="1" applyAlignment="1">
      <alignment horizontal="center"/>
    </xf>
    <xf numFmtId="0" fontId="28" fillId="0" borderId="0" xfId="0" applyFont="1"/>
    <xf numFmtId="0" fontId="25" fillId="0" borderId="0" xfId="0" applyFont="1" applyAlignment="1">
      <alignment horizontal="center"/>
    </xf>
    <xf numFmtId="0" fontId="29" fillId="0" borderId="0" xfId="0" applyFont="1"/>
    <xf numFmtId="0" fontId="25" fillId="5" borderId="1" xfId="0" applyFont="1" applyFill="1" applyBorder="1"/>
    <xf numFmtId="44" fontId="25" fillId="0" borderId="1" xfId="2" applyFont="1" applyBorder="1"/>
    <xf numFmtId="0" fontId="25" fillId="0" borderId="1" xfId="0" applyFont="1" applyBorder="1" applyAlignment="1">
      <alignment horizontal="center"/>
    </xf>
    <xf numFmtId="0" fontId="25" fillId="0" borderId="1" xfId="0" applyFont="1" applyBorder="1"/>
    <xf numFmtId="44" fontId="28" fillId="0" borderId="0" xfId="2" applyFont="1"/>
    <xf numFmtId="0" fontId="30" fillId="0" borderId="0" xfId="0" applyFont="1"/>
    <xf numFmtId="0" fontId="30" fillId="0" borderId="1" xfId="0" applyFont="1" applyBorder="1"/>
    <xf numFmtId="44" fontId="30" fillId="0" borderId="1" xfId="2" applyFont="1" applyBorder="1"/>
    <xf numFmtId="0" fontId="31" fillId="0" borderId="1" xfId="0" applyFont="1" applyBorder="1"/>
    <xf numFmtId="44" fontId="31" fillId="0" borderId="1" xfId="2" applyFont="1" applyBorder="1"/>
    <xf numFmtId="0" fontId="25" fillId="0" borderId="1" xfId="0" applyFont="1" applyBorder="1" applyAlignment="1">
      <alignment horizontal="right"/>
    </xf>
    <xf numFmtId="0" fontId="28" fillId="0" borderId="1" xfId="0" applyFont="1" applyBorder="1"/>
    <xf numFmtId="44" fontId="28" fillId="0" borderId="1" xfId="2" applyFont="1" applyBorder="1" applyAlignment="1">
      <alignment horizontal="right" vertical="center"/>
    </xf>
    <xf numFmtId="8" fontId="28" fillId="0" borderId="0" xfId="0" applyNumberFormat="1" applyFont="1" applyAlignment="1">
      <alignment horizontal="right" vertical="center"/>
    </xf>
    <xf numFmtId="0" fontId="32" fillId="0" borderId="1" xfId="0" applyFont="1" applyBorder="1"/>
    <xf numFmtId="44" fontId="33" fillId="0" borderId="1" xfId="2" applyFont="1" applyBorder="1"/>
    <xf numFmtId="44" fontId="34" fillId="0" borderId="1" xfId="2" applyFont="1" applyBorder="1" applyAlignment="1">
      <alignment horizontal="right" vertical="center"/>
    </xf>
    <xf numFmtId="44" fontId="34" fillId="0" borderId="0" xfId="0" applyNumberFormat="1" applyFont="1"/>
    <xf numFmtId="0" fontId="30" fillId="0" borderId="0" xfId="0" applyFont="1" applyBorder="1"/>
    <xf numFmtId="44" fontId="30" fillId="0" borderId="0" xfId="2" applyFont="1" applyBorder="1"/>
    <xf numFmtId="0" fontId="28" fillId="0" borderId="0" xfId="0" applyFont="1" applyBorder="1"/>
    <xf numFmtId="44" fontId="25" fillId="0" borderId="0" xfId="2" applyFont="1" applyBorder="1"/>
    <xf numFmtId="0" fontId="25" fillId="0" borderId="0" xfId="0" applyFont="1" applyBorder="1" applyAlignment="1">
      <alignment horizontal="center"/>
    </xf>
    <xf numFmtId="0" fontId="29" fillId="0" borderId="0" xfId="0" applyFont="1" applyBorder="1"/>
    <xf numFmtId="44" fontId="25" fillId="0" borderId="0" xfId="2" applyFont="1"/>
    <xf numFmtId="0" fontId="28" fillId="6" borderId="0" xfId="0" applyFont="1" applyFill="1"/>
    <xf numFmtId="8" fontId="28" fillId="0" borderId="0" xfId="0" applyNumberFormat="1" applyFont="1" applyAlignment="1">
      <alignment horizontal="center"/>
    </xf>
    <xf numFmtId="8" fontId="28" fillId="0" borderId="1" xfId="2" applyNumberFormat="1" applyFont="1" applyBorder="1" applyAlignment="1">
      <alignment horizontal="center"/>
    </xf>
    <xf numFmtId="0" fontId="29" fillId="0" borderId="1" xfId="0" applyFont="1" applyBorder="1"/>
    <xf numFmtId="44" fontId="29" fillId="0" borderId="1" xfId="2" applyFont="1" applyBorder="1"/>
    <xf numFmtId="0" fontId="34" fillId="0" borderId="0" xfId="0" applyFont="1"/>
    <xf numFmtId="0" fontId="35" fillId="0" borderId="1" xfId="0" applyFont="1" applyBorder="1"/>
    <xf numFmtId="0" fontId="33" fillId="0" borderId="1" xfId="0" applyFont="1" applyBorder="1"/>
    <xf numFmtId="44" fontId="33" fillId="0" borderId="1" xfId="0" applyNumberFormat="1" applyFont="1" applyBorder="1"/>
    <xf numFmtId="8" fontId="34" fillId="0" borderId="1" xfId="0" applyNumberFormat="1" applyFont="1" applyBorder="1" applyAlignment="1">
      <alignment horizontal="center"/>
    </xf>
    <xf numFmtId="0" fontId="33" fillId="0" borderId="0" xfId="0" applyFont="1"/>
    <xf numFmtId="44" fontId="33" fillId="0" borderId="0" xfId="0" applyNumberFormat="1" applyFont="1"/>
    <xf numFmtId="44" fontId="28" fillId="0" borderId="1" xfId="2" applyFont="1" applyBorder="1" applyAlignment="1">
      <alignment horizontal="center"/>
    </xf>
    <xf numFmtId="44" fontId="33" fillId="0" borderId="0" xfId="2" applyFont="1" applyBorder="1"/>
    <xf numFmtId="44" fontId="28" fillId="0" borderId="0" xfId="2" applyFont="1" applyAlignment="1">
      <alignment horizontal="center"/>
    </xf>
    <xf numFmtId="0" fontId="36" fillId="0" borderId="1" xfId="0" applyFont="1" applyBorder="1"/>
    <xf numFmtId="44" fontId="32" fillId="0" borderId="0" xfId="0" applyNumberFormat="1" applyFont="1"/>
    <xf numFmtId="0" fontId="30" fillId="0" borderId="0" xfId="0" applyFont="1" applyAlignment="1">
      <alignment horizontal="center"/>
    </xf>
    <xf numFmtId="44" fontId="30" fillId="0" borderId="0" xfId="0" applyNumberFormat="1" applyFont="1"/>
    <xf numFmtId="44" fontId="37" fillId="0" borderId="0" xfId="2" applyFont="1" applyAlignment="1">
      <alignment horizontal="center"/>
    </xf>
    <xf numFmtId="0" fontId="38" fillId="0" borderId="0" xfId="0" applyFont="1"/>
    <xf numFmtId="0" fontId="28" fillId="0" borderId="0" xfId="0" applyFont="1" applyAlignment="1">
      <alignment wrapText="1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44" fontId="28" fillId="0" borderId="1" xfId="2" applyFont="1" applyBorder="1"/>
    <xf numFmtId="44" fontId="25" fillId="0" borderId="1" xfId="2" applyFont="1" applyBorder="1" applyAlignment="1">
      <alignment horizontal="center"/>
    </xf>
    <xf numFmtId="44" fontId="30" fillId="0" borderId="1" xfId="2" applyFont="1" applyBorder="1" applyAlignment="1">
      <alignment horizontal="center"/>
    </xf>
    <xf numFmtId="44" fontId="29" fillId="0" borderId="1" xfId="2" applyFont="1" applyBorder="1" applyAlignment="1">
      <alignment horizontal="center"/>
    </xf>
    <xf numFmtId="44" fontId="39" fillId="0" borderId="1" xfId="2" applyFont="1" applyBorder="1"/>
    <xf numFmtId="44" fontId="32" fillId="0" borderId="1" xfId="2" applyFont="1" applyBorder="1" applyAlignment="1">
      <alignment horizontal="center"/>
    </xf>
    <xf numFmtId="44" fontId="32" fillId="0" borderId="1" xfId="2" applyFont="1" applyBorder="1"/>
    <xf numFmtId="44" fontId="30" fillId="0" borderId="0" xfId="2" applyFont="1" applyBorder="1" applyAlignment="1">
      <alignment horizontal="center"/>
    </xf>
    <xf numFmtId="0" fontId="33" fillId="0" borderId="0" xfId="0" applyFont="1" applyBorder="1"/>
    <xf numFmtId="0" fontId="25" fillId="0" borderId="0" xfId="0" applyFont="1" applyBorder="1"/>
    <xf numFmtId="44" fontId="29" fillId="0" borderId="0" xfId="2" applyFont="1" applyBorder="1" applyAlignment="1">
      <alignment horizontal="center"/>
    </xf>
    <xf numFmtId="44" fontId="29" fillId="0" borderId="0" xfId="2" applyFont="1" applyBorder="1"/>
    <xf numFmtId="44" fontId="29" fillId="0" borderId="0" xfId="2" applyFont="1" applyAlignment="1">
      <alignment horizontal="center"/>
    </xf>
    <xf numFmtId="44" fontId="33" fillId="0" borderId="0" xfId="2" applyFont="1"/>
    <xf numFmtId="44" fontId="29" fillId="0" borderId="0" xfId="2" applyFont="1"/>
    <xf numFmtId="0" fontId="40" fillId="0" borderId="1" xfId="0" applyFont="1" applyBorder="1"/>
    <xf numFmtId="44" fontId="40" fillId="0" borderId="1" xfId="2" applyFont="1" applyBorder="1"/>
    <xf numFmtId="0" fontId="41" fillId="0" borderId="1" xfId="0" applyFont="1" applyBorder="1"/>
    <xf numFmtId="44" fontId="41" fillId="0" borderId="1" xfId="2" applyFont="1" applyBorder="1"/>
    <xf numFmtId="0" fontId="35" fillId="0" borderId="1" xfId="0" applyFont="1" applyBorder="1" applyAlignment="1">
      <alignment horizontal="center"/>
    </xf>
    <xf numFmtId="0" fontId="35" fillId="0" borderId="0" xfId="0" applyFont="1" applyAlignment="1">
      <alignment horizontal="center"/>
    </xf>
    <xf numFmtId="44" fontId="38" fillId="0" borderId="0" xfId="2" applyFont="1" applyBorder="1" applyAlignment="1">
      <alignment horizontal="center"/>
    </xf>
    <xf numFmtId="44" fontId="28" fillId="0" borderId="0" xfId="2" applyFont="1" applyBorder="1" applyAlignment="1">
      <alignment horizontal="center"/>
    </xf>
    <xf numFmtId="44" fontId="32" fillId="0" borderId="0" xfId="2" applyFont="1" applyAlignment="1">
      <alignment horizontal="center"/>
    </xf>
    <xf numFmtId="44" fontId="34" fillId="0" borderId="0" xfId="2" applyFont="1" applyAlignment="1">
      <alignment horizontal="center"/>
    </xf>
    <xf numFmtId="0" fontId="41" fillId="0" borderId="1" xfId="0" applyFont="1" applyBorder="1" applyAlignment="1">
      <alignment wrapText="1"/>
    </xf>
    <xf numFmtId="0" fontId="41" fillId="0" borderId="0" xfId="0" applyFont="1"/>
    <xf numFmtId="0" fontId="4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44" fontId="41" fillId="0" borderId="0" xfId="2" applyFont="1"/>
    <xf numFmtId="44" fontId="38" fillId="0" borderId="0" xfId="2" applyFont="1" applyAlignment="1">
      <alignment horizontal="center"/>
    </xf>
    <xf numFmtId="0" fontId="25" fillId="3" borderId="0" xfId="0" applyFont="1" applyFill="1"/>
    <xf numFmtId="0" fontId="25" fillId="0" borderId="0" xfId="0" applyFont="1" applyAlignment="1">
      <alignment wrapText="1"/>
    </xf>
    <xf numFmtId="0" fontId="30" fillId="3" borderId="0" xfId="0" applyFont="1" applyFill="1"/>
    <xf numFmtId="0" fontId="28" fillId="3" borderId="0" xfId="0" applyFont="1" applyFill="1" applyAlignment="1">
      <alignment horizontal="center"/>
    </xf>
    <xf numFmtId="0" fontId="28" fillId="3" borderId="0" xfId="0" applyFont="1" applyFill="1"/>
    <xf numFmtId="0" fontId="43" fillId="0" borderId="0" xfId="0" applyFont="1"/>
    <xf numFmtId="44" fontId="44" fillId="0" borderId="0" xfId="2" applyFont="1"/>
    <xf numFmtId="0" fontId="45" fillId="0" borderId="0" xfId="0" applyFont="1"/>
    <xf numFmtId="0" fontId="46" fillId="0" borderId="0" xfId="0" applyFont="1"/>
    <xf numFmtId="0" fontId="37" fillId="0" borderId="0" xfId="0" applyFont="1"/>
    <xf numFmtId="4" fontId="1" fillId="0" borderId="0" xfId="0" applyNumberFormat="1" applyFont="1" applyAlignment="1">
      <alignment horizontal="center"/>
    </xf>
    <xf numFmtId="44" fontId="24" fillId="0" borderId="0" xfId="2" applyFont="1"/>
    <xf numFmtId="44" fontId="1" fillId="0" borderId="0" xfId="2" applyFont="1" applyAlignment="1">
      <alignment horizontal="center"/>
    </xf>
    <xf numFmtId="44" fontId="14" fillId="0" borderId="0" xfId="2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44" fontId="1" fillId="0" borderId="2" xfId="2" applyFont="1" applyBorder="1" applyAlignment="1">
      <alignment horizontal="center"/>
    </xf>
    <xf numFmtId="44" fontId="1" fillId="0" borderId="0" xfId="0" applyNumberFormat="1" applyFont="1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44" fontId="1" fillId="0" borderId="1" xfId="2" applyFont="1" applyBorder="1" applyAlignment="1">
      <alignment vertical="center"/>
    </xf>
    <xf numFmtId="44" fontId="11" fillId="0" borderId="1" xfId="2" applyFont="1" applyBorder="1" applyAlignment="1">
      <alignment vertical="center"/>
    </xf>
    <xf numFmtId="44" fontId="14" fillId="0" borderId="0" xfId="2" applyFont="1" applyAlignment="1">
      <alignment vertical="center"/>
    </xf>
    <xf numFmtId="0" fontId="1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4" fontId="14" fillId="0" borderId="3" xfId="2" applyFont="1" applyBorder="1" applyAlignment="1">
      <alignment vertical="center"/>
    </xf>
    <xf numFmtId="44" fontId="1" fillId="0" borderId="4" xfId="2" applyFont="1" applyBorder="1" applyAlignment="1">
      <alignment vertical="center"/>
    </xf>
    <xf numFmtId="44" fontId="11" fillId="0" borderId="1" xfId="0" applyNumberFormat="1" applyFont="1" applyBorder="1" applyAlignment="1">
      <alignment vertical="center"/>
    </xf>
    <xf numFmtId="44" fontId="14" fillId="0" borderId="1" xfId="2" applyFont="1" applyBorder="1"/>
    <xf numFmtId="44" fontId="1" fillId="0" borderId="1" xfId="0" applyNumberFormat="1" applyFont="1" applyBorder="1"/>
    <xf numFmtId="44" fontId="30" fillId="0" borderId="1" xfId="0" applyNumberFormat="1" applyFont="1" applyBorder="1" applyAlignment="1">
      <alignment horizontal="center"/>
    </xf>
    <xf numFmtId="44" fontId="47" fillId="0" borderId="0" xfId="2" applyFont="1" applyAlignment="1">
      <alignment horizontal="center"/>
    </xf>
    <xf numFmtId="0" fontId="47" fillId="0" borderId="1" xfId="0" applyFont="1" applyBorder="1"/>
    <xf numFmtId="44" fontId="47" fillId="0" borderId="0" xfId="2" applyFont="1"/>
    <xf numFmtId="44" fontId="9" fillId="0" borderId="1" xfId="2" applyFont="1" applyBorder="1"/>
    <xf numFmtId="0" fontId="48" fillId="0" borderId="1" xfId="0" applyFont="1" applyBorder="1"/>
    <xf numFmtId="44" fontId="1" fillId="0" borderId="0" xfId="2" applyFont="1" applyAlignment="1">
      <alignment vertical="center"/>
    </xf>
    <xf numFmtId="44" fontId="47" fillId="0" borderId="0" xfId="2" applyFont="1" applyAlignment="1">
      <alignment horizontal="right"/>
    </xf>
    <xf numFmtId="44" fontId="47" fillId="0" borderId="1" xfId="2" applyFont="1" applyBorder="1"/>
    <xf numFmtId="44" fontId="47" fillId="0" borderId="1" xfId="2" applyFont="1" applyBorder="1" applyAlignment="1">
      <alignment horizontal="center"/>
    </xf>
    <xf numFmtId="0" fontId="47" fillId="0" borderId="0" xfId="0" applyFont="1"/>
    <xf numFmtId="44" fontId="28" fillId="0" borderId="1" xfId="2" applyFont="1" applyBorder="1" applyAlignment="1"/>
    <xf numFmtId="8" fontId="28" fillId="0" borderId="1" xfId="2" applyNumberFormat="1" applyFont="1" applyBorder="1" applyAlignment="1"/>
    <xf numFmtId="44" fontId="25" fillId="0" borderId="1" xfId="2" applyFont="1" applyBorder="1" applyAlignment="1"/>
    <xf numFmtId="0" fontId="25" fillId="0" borderId="1" xfId="0" applyFont="1" applyBorder="1" applyAlignment="1"/>
    <xf numFmtId="8" fontId="25" fillId="0" borderId="1" xfId="0" applyNumberFormat="1" applyFont="1" applyBorder="1" applyAlignment="1"/>
    <xf numFmtId="44" fontId="32" fillId="0" borderId="1" xfId="0" applyNumberFormat="1" applyFont="1" applyBorder="1" applyAlignment="1">
      <alignment horizontal="center"/>
    </xf>
    <xf numFmtId="44" fontId="22" fillId="0" borderId="1" xfId="2" applyFont="1" applyBorder="1"/>
    <xf numFmtId="44" fontId="14" fillId="0" borderId="1" xfId="0" applyNumberFormat="1" applyFont="1" applyBorder="1"/>
    <xf numFmtId="0" fontId="0" fillId="0" borderId="1" xfId="0" applyBorder="1" applyAlignment="1">
      <alignment horizontal="center"/>
    </xf>
    <xf numFmtId="44" fontId="1" fillId="0" borderId="1" xfId="2" applyFont="1" applyBorder="1" applyAlignment="1">
      <alignment horizontal="center"/>
    </xf>
    <xf numFmtId="44" fontId="1" fillId="3" borderId="1" xfId="2" applyFont="1" applyFill="1" applyBorder="1" applyAlignment="1">
      <alignment horizontal="center"/>
    </xf>
    <xf numFmtId="0" fontId="12" fillId="0" borderId="0" xfId="0" applyFont="1" applyFill="1"/>
    <xf numFmtId="0" fontId="12" fillId="0" borderId="0" xfId="0" applyFont="1" applyFill="1" applyAlignment="1">
      <alignment horizontal="center"/>
    </xf>
    <xf numFmtId="49" fontId="0" fillId="0" borderId="0" xfId="0" applyNumberFormat="1" applyFill="1"/>
    <xf numFmtId="0" fontId="0" fillId="0" borderId="0" xfId="0" applyFill="1"/>
    <xf numFmtId="0" fontId="0" fillId="0" borderId="0" xfId="0" applyFill="1" applyAlignment="1">
      <alignment horizontal="center"/>
    </xf>
    <xf numFmtId="0" fontId="9" fillId="3" borderId="1" xfId="0" applyFont="1" applyFill="1" applyBorder="1"/>
    <xf numFmtId="1" fontId="9" fillId="3" borderId="1" xfId="0" applyNumberFormat="1" applyFont="1" applyFill="1" applyBorder="1" applyAlignment="1">
      <alignment horizontal="right"/>
    </xf>
    <xf numFmtId="0" fontId="49" fillId="3" borderId="1" xfId="0" applyFont="1" applyFill="1" applyBorder="1"/>
    <xf numFmtId="1" fontId="49" fillId="3" borderId="1" xfId="0" applyNumberFormat="1" applyFont="1" applyFill="1" applyBorder="1"/>
    <xf numFmtId="0" fontId="41" fillId="0" borderId="1" xfId="0" applyFont="1" applyBorder="1" applyAlignment="1"/>
    <xf numFmtId="0" fontId="25" fillId="3" borderId="0" xfId="0" applyFont="1" applyFill="1" applyAlignment="1">
      <alignment wrapText="1"/>
    </xf>
    <xf numFmtId="43" fontId="28" fillId="0" borderId="0" xfId="1" applyFont="1"/>
    <xf numFmtId="43" fontId="1" fillId="0" borderId="1" xfId="1" applyFont="1" applyBorder="1"/>
    <xf numFmtId="0" fontId="50" fillId="0" borderId="0" xfId="0" applyFont="1" applyBorder="1"/>
    <xf numFmtId="0" fontId="36" fillId="0" borderId="0" xfId="0" applyFont="1" applyBorder="1"/>
    <xf numFmtId="0" fontId="32" fillId="0" borderId="0" xfId="0" applyFont="1"/>
    <xf numFmtId="0" fontId="1" fillId="0" borderId="0" xfId="0" applyFont="1" applyBorder="1"/>
    <xf numFmtId="44" fontId="1" fillId="0" borderId="0" xfId="2" applyFont="1" applyBorder="1"/>
    <xf numFmtId="44" fontId="0" fillId="0" borderId="0" xfId="2" applyFont="1" applyBorder="1"/>
    <xf numFmtId="0" fontId="9" fillId="3" borderId="0" xfId="0" applyFont="1" applyFill="1" applyBorder="1"/>
    <xf numFmtId="1" fontId="1" fillId="0" borderId="0" xfId="0" applyNumberFormat="1" applyFont="1"/>
    <xf numFmtId="44" fontId="1" fillId="7" borderId="1" xfId="2" applyFont="1" applyFill="1" applyBorder="1"/>
    <xf numFmtId="0" fontId="28" fillId="8" borderId="1" xfId="0" applyFont="1" applyFill="1" applyBorder="1"/>
    <xf numFmtId="0" fontId="28" fillId="8" borderId="0" xfId="0" applyFont="1" applyFill="1"/>
    <xf numFmtId="44" fontId="52" fillId="0" borderId="0" xfId="2" applyFont="1" applyBorder="1" applyAlignment="1">
      <alignment horizontal="center"/>
    </xf>
    <xf numFmtId="44" fontId="15" fillId="0" borderId="0" xfId="0" applyNumberFormat="1" applyFont="1"/>
    <xf numFmtId="0" fontId="53" fillId="0" borderId="1" xfId="0" applyFont="1" applyBorder="1"/>
    <xf numFmtId="0" fontId="0" fillId="3" borderId="0" xfId="0" applyFill="1"/>
    <xf numFmtId="0" fontId="42" fillId="0" borderId="1" xfId="0" applyFont="1" applyBorder="1"/>
    <xf numFmtId="44" fontId="54" fillId="0" borderId="0" xfId="0" applyNumberFormat="1" applyFont="1" applyAlignment="1">
      <alignment horizontal="center"/>
    </xf>
    <xf numFmtId="44" fontId="54" fillId="0" borderId="1" xfId="0" applyNumberFormat="1" applyFont="1" applyBorder="1"/>
    <xf numFmtId="44" fontId="25" fillId="3" borderId="1" xfId="0" applyNumberFormat="1" applyFont="1" applyFill="1" applyBorder="1"/>
    <xf numFmtId="44" fontId="25" fillId="0" borderId="0" xfId="0" applyNumberFormat="1" applyFont="1"/>
    <xf numFmtId="0" fontId="55" fillId="0" borderId="0" xfId="0" applyFont="1"/>
    <xf numFmtId="0" fontId="28" fillId="3" borderId="1" xfId="0" applyFont="1" applyFill="1" applyBorder="1"/>
    <xf numFmtId="44" fontId="25" fillId="3" borderId="1" xfId="2" applyFont="1" applyFill="1" applyBorder="1"/>
    <xf numFmtId="44" fontId="28" fillId="3" borderId="1" xfId="2" applyFont="1" applyFill="1" applyBorder="1" applyAlignment="1">
      <alignment horizontal="center"/>
    </xf>
    <xf numFmtId="44" fontId="47" fillId="3" borderId="1" xfId="2" applyFont="1" applyFill="1" applyBorder="1" applyAlignment="1">
      <alignment horizontal="center"/>
    </xf>
    <xf numFmtId="43" fontId="25" fillId="3" borderId="0" xfId="1" applyFont="1" applyFill="1" applyAlignment="1">
      <alignment horizontal="center"/>
    </xf>
    <xf numFmtId="44" fontId="47" fillId="3" borderId="0" xfId="2" applyFont="1" applyFill="1" applyAlignment="1">
      <alignment horizontal="center"/>
    </xf>
    <xf numFmtId="44" fontId="28" fillId="3" borderId="1" xfId="2" applyFont="1" applyFill="1" applyBorder="1" applyAlignment="1"/>
    <xf numFmtId="44" fontId="47" fillId="3" borderId="1" xfId="2" applyFont="1" applyFill="1" applyBorder="1" applyAlignment="1"/>
    <xf numFmtId="44" fontId="47" fillId="3" borderId="2" xfId="2" applyFont="1" applyFill="1" applyBorder="1" applyAlignment="1">
      <alignment horizontal="center"/>
    </xf>
    <xf numFmtId="8" fontId="28" fillId="0" borderId="1" xfId="2" applyNumberFormat="1" applyFont="1" applyBorder="1" applyAlignment="1">
      <alignment horizontal="right"/>
    </xf>
    <xf numFmtId="44" fontId="28" fillId="3" borderId="0" xfId="2" applyFont="1" applyFill="1"/>
    <xf numFmtId="0" fontId="25" fillId="3" borderId="1" xfId="0" applyFont="1" applyFill="1" applyBorder="1"/>
    <xf numFmtId="44" fontId="28" fillId="3" borderId="1" xfId="2" applyFont="1" applyFill="1" applyBorder="1"/>
    <xf numFmtId="0" fontId="28" fillId="9" borderId="1" xfId="0" applyFont="1" applyFill="1" applyBorder="1"/>
    <xf numFmtId="0" fontId="25" fillId="9" borderId="1" xfId="0" applyFont="1" applyFill="1" applyBorder="1"/>
    <xf numFmtId="0" fontId="25" fillId="9" borderId="0" xfId="0" applyFont="1" applyFill="1"/>
    <xf numFmtId="44" fontId="32" fillId="3" borderId="0" xfId="2" applyFont="1" applyFill="1"/>
    <xf numFmtId="44" fontId="38" fillId="0" borderId="0" xfId="2" applyFont="1" applyBorder="1"/>
    <xf numFmtId="44" fontId="47" fillId="3" borderId="2" xfId="2" applyFont="1" applyFill="1" applyBorder="1"/>
    <xf numFmtId="44" fontId="38" fillId="3" borderId="0" xfId="2" applyFont="1" applyFill="1"/>
    <xf numFmtId="0" fontId="28" fillId="9" borderId="0" xfId="0" applyFont="1" applyFill="1"/>
    <xf numFmtId="8" fontId="32" fillId="0" borderId="1" xfId="0" applyNumberFormat="1" applyFont="1" applyBorder="1" applyAlignment="1">
      <alignment horizontal="center"/>
    </xf>
    <xf numFmtId="0" fontId="10" fillId="0" borderId="1" xfId="0" applyFont="1" applyBorder="1"/>
    <xf numFmtId="0" fontId="51" fillId="0" borderId="1" xfId="0" applyFont="1" applyBorder="1"/>
    <xf numFmtId="44" fontId="0" fillId="7" borderId="1" xfId="2" applyFont="1" applyFill="1" applyBorder="1"/>
    <xf numFmtId="0" fontId="6" fillId="0" borderId="5" xfId="0" applyFont="1" applyBorder="1"/>
    <xf numFmtId="0" fontId="1" fillId="0" borderId="6" xfId="0" applyFont="1" applyBorder="1"/>
    <xf numFmtId="0" fontId="0" fillId="0" borderId="6" xfId="0" applyBorder="1"/>
    <xf numFmtId="0" fontId="28" fillId="3" borderId="6" xfId="0" applyFont="1" applyFill="1" applyBorder="1"/>
    <xf numFmtId="44" fontId="25" fillId="3" borderId="6" xfId="2" applyFont="1" applyFill="1" applyBorder="1"/>
    <xf numFmtId="44" fontId="28" fillId="3" borderId="6" xfId="2" applyFont="1" applyFill="1" applyBorder="1" applyAlignment="1">
      <alignment horizontal="center"/>
    </xf>
    <xf numFmtId="0" fontId="0" fillId="3" borderId="6" xfId="0" applyFill="1" applyBorder="1"/>
    <xf numFmtId="44" fontId="0" fillId="3" borderId="6" xfId="2" applyFont="1" applyFill="1" applyBorder="1"/>
    <xf numFmtId="44" fontId="0" fillId="0" borderId="6" xfId="2" applyFont="1" applyBorder="1"/>
    <xf numFmtId="44" fontId="1" fillId="0" borderId="6" xfId="2" applyFont="1" applyBorder="1"/>
    <xf numFmtId="0" fontId="10" fillId="0" borderId="6" xfId="0" applyFont="1" applyBorder="1"/>
    <xf numFmtId="44" fontId="13" fillId="0" borderId="6" xfId="2" applyFont="1" applyBorder="1"/>
    <xf numFmtId="0" fontId="9" fillId="0" borderId="6" xfId="0" applyFont="1" applyBorder="1"/>
    <xf numFmtId="44" fontId="5" fillId="0" borderId="6" xfId="0" applyNumberFormat="1" applyFont="1" applyBorder="1"/>
    <xf numFmtId="0" fontId="11" fillId="0" borderId="6" xfId="0" applyFont="1" applyBorder="1"/>
    <xf numFmtId="44" fontId="5" fillId="0" borderId="6" xfId="2" applyFont="1" applyBorder="1"/>
    <xf numFmtId="0" fontId="56" fillId="0" borderId="0" xfId="0" applyFont="1"/>
    <xf numFmtId="44" fontId="56" fillId="0" borderId="0" xfId="0" applyNumberFormat="1" applyFont="1"/>
    <xf numFmtId="44" fontId="57" fillId="0" borderId="0" xfId="0" applyNumberFormat="1" applyFont="1"/>
    <xf numFmtId="44" fontId="58" fillId="7" borderId="1" xfId="2" applyFont="1" applyFill="1" applyBorder="1"/>
    <xf numFmtId="44" fontId="1" fillId="3" borderId="1" xfId="2" applyFont="1" applyFill="1" applyBorder="1"/>
    <xf numFmtId="44" fontId="14" fillId="3" borderId="0" xfId="2" applyFont="1" applyFill="1"/>
    <xf numFmtId="0" fontId="56" fillId="0" borderId="1" xfId="0" applyFont="1" applyBorder="1"/>
    <xf numFmtId="0" fontId="59" fillId="0" borderId="0" xfId="0" applyFont="1"/>
    <xf numFmtId="164" fontId="25" fillId="0" borderId="1" xfId="0" applyNumberFormat="1" applyFont="1" applyBorder="1" applyAlignment="1">
      <alignment horizontal="left"/>
    </xf>
    <xf numFmtId="44" fontId="34" fillId="3" borderId="0" xfId="0" applyNumberFormat="1" applyFont="1" applyFill="1"/>
    <xf numFmtId="44" fontId="59" fillId="3" borderId="0" xfId="0" applyNumberFormat="1" applyFont="1" applyFill="1"/>
    <xf numFmtId="44" fontId="5" fillId="2" borderId="1" xfId="0" applyNumberFormat="1" applyFont="1" applyFill="1" applyBorder="1"/>
    <xf numFmtId="44" fontId="1" fillId="6" borderId="1" xfId="2" applyFont="1" applyFill="1" applyBorder="1"/>
    <xf numFmtId="0" fontId="9" fillId="6" borderId="1" xfId="0" applyFont="1" applyFill="1" applyBorder="1"/>
    <xf numFmtId="43" fontId="28" fillId="3" borderId="0" xfId="1" applyFont="1" applyFill="1"/>
    <xf numFmtId="0" fontId="26" fillId="0" borderId="1" xfId="0" applyFont="1" applyBorder="1"/>
    <xf numFmtId="44" fontId="14" fillId="6" borderId="0" xfId="2" applyFont="1" applyFill="1" applyAlignment="1">
      <alignment vertical="center"/>
    </xf>
    <xf numFmtId="0" fontId="13" fillId="3" borderId="6" xfId="0" applyFont="1" applyFill="1" applyBorder="1"/>
    <xf numFmtId="0" fontId="10" fillId="3" borderId="6" xfId="0" applyFont="1" applyFill="1" applyBorder="1"/>
    <xf numFmtId="0" fontId="11" fillId="3" borderId="6" xfId="0" applyFont="1" applyFill="1" applyBorder="1"/>
    <xf numFmtId="44" fontId="30" fillId="3" borderId="0" xfId="2" applyFont="1" applyFill="1"/>
    <xf numFmtId="44" fontId="30" fillId="0" borderId="0" xfId="2" applyFont="1"/>
    <xf numFmtId="44" fontId="26" fillId="0" borderId="0" xfId="0" applyNumberFormat="1" applyFont="1"/>
    <xf numFmtId="0" fontId="33" fillId="7" borderId="0" xfId="0" applyFont="1" applyFill="1"/>
    <xf numFmtId="0" fontId="14" fillId="3" borderId="0" xfId="0" applyFont="1" applyFill="1"/>
    <xf numFmtId="0" fontId="1" fillId="3" borderId="0" xfId="0" applyFont="1" applyFill="1"/>
    <xf numFmtId="44" fontId="14" fillId="3" borderId="0" xfId="2" applyFont="1" applyFill="1" applyBorder="1"/>
    <xf numFmtId="0" fontId="60" fillId="0" borderId="1" xfId="0" applyFont="1" applyBorder="1"/>
    <xf numFmtId="0" fontId="0" fillId="3" borderId="0" xfId="0" applyFill="1" applyAlignment="1">
      <alignment vertical="center"/>
    </xf>
    <xf numFmtId="0" fontId="1" fillId="3" borderId="1" xfId="0" applyFont="1" applyFill="1" applyBorder="1"/>
    <xf numFmtId="49" fontId="9" fillId="0" borderId="0" xfId="0" applyNumberFormat="1" applyFont="1"/>
    <xf numFmtId="0" fontId="14" fillId="8" borderId="0" xfId="0" applyFont="1" applyFill="1" applyBorder="1"/>
    <xf numFmtId="0" fontId="14" fillId="8" borderId="0" xfId="0" applyFont="1" applyFill="1" applyAlignment="1">
      <alignment wrapText="1"/>
    </xf>
    <xf numFmtId="0" fontId="12" fillId="3" borderId="1" xfId="0" applyFont="1" applyFill="1" applyBorder="1"/>
    <xf numFmtId="44" fontId="15" fillId="3" borderId="1" xfId="2" applyFont="1" applyFill="1" applyBorder="1"/>
    <xf numFmtId="44" fontId="12" fillId="3" borderId="1" xfId="2" applyFont="1" applyFill="1" applyBorder="1" applyAlignment="1">
      <alignment vertical="center"/>
    </xf>
    <xf numFmtId="0" fontId="11" fillId="3" borderId="1" xfId="0" applyFont="1" applyFill="1" applyBorder="1"/>
    <xf numFmtId="44" fontId="11" fillId="3" borderId="1" xfId="2" applyFont="1" applyFill="1" applyBorder="1" applyAlignment="1">
      <alignment vertical="center"/>
    </xf>
    <xf numFmtId="0" fontId="9" fillId="0" borderId="0" xfId="0" applyFont="1" applyBorder="1"/>
    <xf numFmtId="44" fontId="11" fillId="0" borderId="0" xfId="0" applyNumberFormat="1" applyFont="1" applyBorder="1"/>
    <xf numFmtId="44" fontId="9" fillId="0" borderId="0" xfId="0" applyNumberFormat="1" applyFont="1" applyBorder="1"/>
    <xf numFmtId="0" fontId="22" fillId="0" borderId="0" xfId="0" applyFont="1" applyBorder="1"/>
    <xf numFmtId="0" fontId="0" fillId="0" borderId="0" xfId="0" applyBorder="1"/>
    <xf numFmtId="44" fontId="19" fillId="0" borderId="0" xfId="2" applyFont="1" applyBorder="1"/>
    <xf numFmtId="0" fontId="28" fillId="8" borderId="0" xfId="0" applyFont="1" applyFill="1" applyBorder="1"/>
    <xf numFmtId="44" fontId="6" fillId="0" borderId="1" xfId="0" applyNumberFormat="1" applyFont="1" applyBorder="1"/>
    <xf numFmtId="44" fontId="8" fillId="0" borderId="6" xfId="0" applyNumberFormat="1" applyFont="1" applyBorder="1"/>
    <xf numFmtId="49" fontId="0" fillId="3" borderId="0" xfId="0" applyNumberFormat="1" applyFill="1"/>
    <xf numFmtId="0" fontId="25" fillId="3" borderId="0" xfId="0" applyFont="1" applyFill="1" applyAlignment="1">
      <alignment wrapText="1"/>
    </xf>
    <xf numFmtId="0" fontId="15" fillId="0" borderId="7" xfId="0" applyFont="1" applyBorder="1" applyAlignment="1">
      <alignment wrapText="1"/>
    </xf>
    <xf numFmtId="0" fontId="15" fillId="0" borderId="8" xfId="0" applyFont="1" applyBorder="1" applyAlignment="1">
      <alignment wrapText="1"/>
    </xf>
    <xf numFmtId="0" fontId="15" fillId="0" borderId="5" xfId="0" applyFont="1" applyBorder="1" applyAlignment="1">
      <alignment wrapText="1"/>
    </xf>
    <xf numFmtId="0" fontId="12" fillId="0" borderId="0" xfId="0" applyFont="1" applyFill="1" applyAlignment="1">
      <alignment wrapText="1"/>
    </xf>
  </cellXfs>
  <cellStyles count="3">
    <cellStyle name="Migliaia" xfId="1" builtinId="3"/>
    <cellStyle name="Normale" xfId="0" builtinId="0"/>
    <cellStyle name="Valuta" xfId="2" builtin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48"/>
  <sheetViews>
    <sheetView workbookViewId="0">
      <selection activeCell="G7" sqref="G7:G9"/>
    </sheetView>
  </sheetViews>
  <sheetFormatPr defaultRowHeight="15"/>
  <cols>
    <col min="1" max="1" width="27" customWidth="1"/>
    <col min="6" max="6" width="22.140625" customWidth="1"/>
  </cols>
  <sheetData>
    <row r="3" spans="1:9">
      <c r="A3" s="246" t="s">
        <v>108</v>
      </c>
    </row>
    <row r="5" spans="1:9">
      <c r="A5" s="44" t="s">
        <v>1</v>
      </c>
      <c r="B5" s="18"/>
      <c r="F5" s="44" t="s">
        <v>8</v>
      </c>
      <c r="G5" s="18"/>
    </row>
    <row r="6" spans="1:9">
      <c r="A6" s="18"/>
      <c r="B6" s="18"/>
      <c r="F6" s="18"/>
      <c r="G6" s="18"/>
    </row>
    <row r="7" spans="1:9">
      <c r="A7" s="44" t="s">
        <v>0</v>
      </c>
      <c r="B7" s="44">
        <v>28</v>
      </c>
      <c r="D7" s="69"/>
      <c r="F7" s="44" t="s">
        <v>3</v>
      </c>
      <c r="G7" s="323">
        <v>6</v>
      </c>
      <c r="I7" s="69">
        <f>+G7+G9+G11+G13</f>
        <v>15</v>
      </c>
    </row>
    <row r="8" spans="1:9">
      <c r="A8" s="44"/>
      <c r="B8" s="44"/>
      <c r="F8" s="18"/>
      <c r="G8" s="62"/>
    </row>
    <row r="9" spans="1:9">
      <c r="A9" s="44" t="s">
        <v>2</v>
      </c>
      <c r="B9" s="44">
        <v>16</v>
      </c>
      <c r="F9" s="44" t="s">
        <v>5</v>
      </c>
      <c r="G9" s="323">
        <v>9</v>
      </c>
    </row>
    <row r="10" spans="1:9">
      <c r="A10" s="44"/>
      <c r="B10" s="44"/>
      <c r="F10" s="18"/>
      <c r="G10" s="18"/>
    </row>
    <row r="11" spans="1:9">
      <c r="A11" s="44" t="s">
        <v>3</v>
      </c>
      <c r="B11" s="44">
        <v>4</v>
      </c>
      <c r="F11" s="18"/>
      <c r="G11" s="18"/>
    </row>
    <row r="12" spans="1:9">
      <c r="A12" s="44"/>
      <c r="B12" s="44"/>
      <c r="F12" s="18"/>
      <c r="G12" s="18"/>
    </row>
    <row r="13" spans="1:9">
      <c r="A13" s="44" t="s">
        <v>5</v>
      </c>
      <c r="B13" s="44">
        <v>2</v>
      </c>
      <c r="F13" s="18"/>
      <c r="G13" s="18"/>
    </row>
    <row r="14" spans="1:9">
      <c r="A14" s="18"/>
      <c r="B14" s="18"/>
      <c r="F14" s="18"/>
      <c r="G14" s="18"/>
    </row>
    <row r="15" spans="1:9">
      <c r="A15" s="21" t="s">
        <v>4</v>
      </c>
      <c r="B15" s="21"/>
      <c r="C15" s="4"/>
      <c r="F15" s="21"/>
      <c r="G15" s="21"/>
    </row>
    <row r="16" spans="1:9">
      <c r="B16" t="s">
        <v>6</v>
      </c>
    </row>
    <row r="17" spans="1:7">
      <c r="B17" s="2">
        <f>SUM(B7:B16)</f>
        <v>50</v>
      </c>
    </row>
    <row r="20" spans="1:7">
      <c r="A20" s="44" t="s">
        <v>7</v>
      </c>
      <c r="B20" s="18"/>
    </row>
    <row r="21" spans="1:7">
      <c r="A21" s="18"/>
      <c r="B21" s="18"/>
    </row>
    <row r="22" spans="1:7">
      <c r="A22" s="44" t="s">
        <v>0</v>
      </c>
      <c r="B22" s="44">
        <v>11</v>
      </c>
      <c r="D22" s="69">
        <f>+B22+B24+B26</f>
        <v>20</v>
      </c>
      <c r="G22" s="69"/>
    </row>
    <row r="23" spans="1:7">
      <c r="A23" s="44"/>
      <c r="B23" s="44"/>
    </row>
    <row r="24" spans="1:7">
      <c r="A24" s="44" t="s">
        <v>2</v>
      </c>
      <c r="B24" s="44">
        <v>4</v>
      </c>
    </row>
    <row r="25" spans="1:7">
      <c r="A25" s="44"/>
      <c r="B25" s="44"/>
    </row>
    <row r="26" spans="1:7">
      <c r="A26" s="44" t="s">
        <v>3</v>
      </c>
      <c r="B26" s="44">
        <v>5</v>
      </c>
    </row>
    <row r="27" spans="1:7">
      <c r="A27" s="18"/>
      <c r="B27" s="18"/>
    </row>
    <row r="28" spans="1:7">
      <c r="A28" s="18" t="s">
        <v>5</v>
      </c>
      <c r="B28" s="18">
        <v>1</v>
      </c>
    </row>
    <row r="29" spans="1:7">
      <c r="A29" s="21"/>
      <c r="B29" s="21"/>
    </row>
    <row r="30" spans="1:7">
      <c r="B30" t="s">
        <v>6</v>
      </c>
    </row>
    <row r="31" spans="1:7">
      <c r="B31" s="3">
        <f>SUM(B22:B30)</f>
        <v>21</v>
      </c>
    </row>
    <row r="32" spans="1:7">
      <c r="B32" s="3"/>
    </row>
    <row r="33" spans="1:4">
      <c r="B33" s="3"/>
    </row>
    <row r="34" spans="1:4">
      <c r="A34" s="44" t="s">
        <v>9</v>
      </c>
      <c r="B34" s="18"/>
    </row>
    <row r="35" spans="1:4">
      <c r="A35" s="18"/>
      <c r="B35" s="18"/>
    </row>
    <row r="36" spans="1:4">
      <c r="A36" s="44" t="s">
        <v>0</v>
      </c>
      <c r="B36" s="44">
        <v>29</v>
      </c>
      <c r="D36" s="69">
        <f>+B36+B38+B40+B42+B44</f>
        <v>44</v>
      </c>
    </row>
    <row r="37" spans="1:4">
      <c r="A37" s="44"/>
      <c r="B37" s="44"/>
    </row>
    <row r="38" spans="1:4">
      <c r="A38" s="44" t="s">
        <v>2</v>
      </c>
      <c r="B38" s="44">
        <v>13</v>
      </c>
    </row>
    <row r="39" spans="1:4">
      <c r="A39" s="44"/>
      <c r="B39" s="44"/>
    </row>
    <row r="40" spans="1:4">
      <c r="A40" s="44" t="s">
        <v>3</v>
      </c>
      <c r="B40" s="44">
        <v>1</v>
      </c>
    </row>
    <row r="41" spans="1:4">
      <c r="A41" s="44"/>
      <c r="B41" s="44"/>
    </row>
    <row r="42" spans="1:4">
      <c r="A42" s="44" t="s">
        <v>5</v>
      </c>
      <c r="B42" s="44"/>
    </row>
    <row r="43" spans="1:4">
      <c r="A43" s="44"/>
      <c r="B43" s="44"/>
    </row>
    <row r="44" spans="1:4">
      <c r="A44" s="44" t="s">
        <v>10</v>
      </c>
      <c r="B44" s="44">
        <v>1</v>
      </c>
    </row>
    <row r="45" spans="1:4">
      <c r="A45" s="18"/>
      <c r="B45" s="18"/>
    </row>
    <row r="46" spans="1:4">
      <c r="A46" s="21"/>
      <c r="B46" s="21"/>
    </row>
    <row r="47" spans="1:4">
      <c r="B47" t="s">
        <v>6</v>
      </c>
    </row>
    <row r="48" spans="1:4">
      <c r="B48" s="2">
        <f>SUM(B36:B47)</f>
        <v>44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S67"/>
  <sheetViews>
    <sheetView topLeftCell="A37" workbookViewId="0">
      <selection activeCell="A46" sqref="A46"/>
    </sheetView>
  </sheetViews>
  <sheetFormatPr defaultRowHeight="12.75"/>
  <cols>
    <col min="1" max="1" width="51.85546875" style="32" customWidth="1"/>
    <col min="2" max="2" width="11.7109375" style="32" customWidth="1"/>
    <col min="3" max="3" width="19.85546875" style="84" customWidth="1"/>
    <col min="4" max="4" width="14.7109375" style="32" customWidth="1"/>
    <col min="5" max="5" width="5.42578125" style="32" customWidth="1"/>
    <col min="6" max="6" width="13.140625" style="84" customWidth="1"/>
    <col min="7" max="7" width="5.28515625" style="32" customWidth="1"/>
    <col min="8" max="8" width="9.7109375" style="32" customWidth="1"/>
    <col min="9" max="9" width="9.140625" style="32"/>
    <col min="10" max="10" width="16.7109375" style="32" customWidth="1"/>
    <col min="11" max="11" width="6.28515625" style="32" customWidth="1"/>
    <col min="12" max="12" width="13" style="110" customWidth="1"/>
    <col min="13" max="13" width="12.42578125" style="32" customWidth="1"/>
    <col min="14" max="14" width="5.5703125" style="32" customWidth="1"/>
    <col min="15" max="15" width="13.140625" style="32" customWidth="1"/>
    <col min="16" max="17" width="9.140625" style="32"/>
    <col min="18" max="18" width="11.42578125" style="32" bestFit="1" customWidth="1"/>
    <col min="19" max="16384" width="9.140625" style="32"/>
  </cols>
  <sheetData>
    <row r="2" spans="1:15">
      <c r="A2" s="83" t="s">
        <v>14</v>
      </c>
    </row>
    <row r="3" spans="1:15" ht="25.5">
      <c r="A3" s="131" t="s">
        <v>11</v>
      </c>
      <c r="B3" s="83"/>
      <c r="C3" s="132" t="s">
        <v>109</v>
      </c>
      <c r="K3" s="83"/>
      <c r="L3" s="90" t="s">
        <v>110</v>
      </c>
    </row>
    <row r="5" spans="1:15">
      <c r="A5" s="241" t="s">
        <v>1</v>
      </c>
      <c r="B5" s="89" t="s">
        <v>24</v>
      </c>
      <c r="C5" s="88"/>
      <c r="D5" s="114" t="s">
        <v>25</v>
      </c>
      <c r="E5" s="89"/>
      <c r="F5" s="133" t="s">
        <v>26</v>
      </c>
      <c r="H5" s="266" t="s">
        <v>1</v>
      </c>
      <c r="I5" s="267"/>
      <c r="J5" s="267"/>
      <c r="K5" s="89" t="s">
        <v>24</v>
      </c>
      <c r="L5" s="87"/>
      <c r="M5" s="114" t="s">
        <v>25</v>
      </c>
      <c r="N5" s="89"/>
      <c r="O5" s="114" t="s">
        <v>26</v>
      </c>
    </row>
    <row r="6" spans="1:15">
      <c r="A6" s="89"/>
      <c r="B6" s="89"/>
      <c r="C6" s="88"/>
      <c r="D6" s="89"/>
      <c r="E6" s="89"/>
      <c r="F6" s="88"/>
      <c r="H6" s="89"/>
      <c r="I6" s="89"/>
      <c r="J6" s="89"/>
      <c r="K6" s="87"/>
      <c r="L6" s="87"/>
      <c r="M6" s="114"/>
      <c r="N6" s="89"/>
      <c r="O6" s="89"/>
    </row>
    <row r="7" spans="1:15">
      <c r="A7" s="97" t="s">
        <v>12</v>
      </c>
      <c r="B7" s="87"/>
      <c r="C7" s="123">
        <v>8727.2000000000007</v>
      </c>
      <c r="D7" s="92" t="s">
        <v>0</v>
      </c>
      <c r="E7" s="92">
        <v>28</v>
      </c>
      <c r="F7" s="197">
        <f>C15/50*E7</f>
        <v>894.98080000000016</v>
      </c>
      <c r="H7" s="97" t="s">
        <v>12</v>
      </c>
      <c r="I7" s="89"/>
      <c r="J7" s="89"/>
      <c r="K7" s="87"/>
      <c r="L7" s="135">
        <v>12982.57</v>
      </c>
      <c r="M7" s="92" t="s">
        <v>0</v>
      </c>
      <c r="N7" s="92">
        <v>28</v>
      </c>
      <c r="O7" s="93">
        <f>L15/50*N7</f>
        <v>4970.3584000000001</v>
      </c>
    </row>
    <row r="8" spans="1:15">
      <c r="A8" s="89"/>
      <c r="B8" s="87"/>
      <c r="C8" s="123"/>
      <c r="D8" s="92"/>
      <c r="E8" s="92"/>
      <c r="F8" s="134"/>
      <c r="H8" s="97"/>
      <c r="I8" s="89"/>
      <c r="J8" s="89"/>
      <c r="K8" s="87"/>
      <c r="L8" s="135"/>
      <c r="M8" s="92"/>
      <c r="N8" s="92"/>
      <c r="O8" s="93"/>
    </row>
    <row r="9" spans="1:15">
      <c r="A9" s="253" t="s">
        <v>136</v>
      </c>
      <c r="B9" s="135"/>
      <c r="C9" s="123">
        <v>8385.98</v>
      </c>
      <c r="D9" s="92" t="s">
        <v>2</v>
      </c>
      <c r="E9" s="92">
        <v>16</v>
      </c>
      <c r="F9" s="137">
        <f>C15/50*E9</f>
        <v>511.41760000000011</v>
      </c>
      <c r="H9" s="97" t="s">
        <v>136</v>
      </c>
      <c r="I9" s="135"/>
      <c r="J9" s="123"/>
      <c r="K9" s="87"/>
      <c r="L9" s="123">
        <v>5683.07</v>
      </c>
      <c r="M9" s="92" t="s">
        <v>2</v>
      </c>
      <c r="N9" s="92">
        <v>16</v>
      </c>
      <c r="O9" s="93">
        <f>L15/50*N9</f>
        <v>2840.2048</v>
      </c>
    </row>
    <row r="10" spans="1:15">
      <c r="A10" s="97"/>
      <c r="B10" s="87"/>
      <c r="C10" s="123"/>
      <c r="D10" s="92"/>
      <c r="E10" s="92"/>
      <c r="F10" s="137"/>
      <c r="H10" s="89"/>
      <c r="I10" s="89"/>
      <c r="J10" s="89"/>
      <c r="K10" s="87"/>
      <c r="L10" s="87"/>
      <c r="M10" s="92"/>
      <c r="N10" s="92"/>
      <c r="O10" s="93"/>
    </row>
    <row r="11" spans="1:15">
      <c r="A11" s="253"/>
      <c r="B11" s="254"/>
      <c r="C11" s="255"/>
      <c r="D11" s="92"/>
      <c r="E11" s="92"/>
      <c r="F11" s="137"/>
      <c r="H11" s="97"/>
      <c r="I11" s="89"/>
      <c r="J11" s="89"/>
      <c r="K11" s="87"/>
      <c r="L11" s="135"/>
      <c r="M11" s="92"/>
      <c r="N11" s="92"/>
      <c r="O11" s="93"/>
    </row>
    <row r="12" spans="1:15">
      <c r="A12" s="97"/>
      <c r="B12" s="87"/>
      <c r="C12" s="123"/>
      <c r="D12" s="92"/>
      <c r="E12" s="92"/>
      <c r="F12" s="137"/>
      <c r="H12" s="89"/>
      <c r="I12" s="89"/>
      <c r="J12" s="89"/>
      <c r="K12" s="87"/>
      <c r="L12" s="87"/>
      <c r="M12" s="92"/>
      <c r="N12" s="92"/>
      <c r="O12" s="93"/>
    </row>
    <row r="13" spans="1:15">
      <c r="A13" s="97"/>
      <c r="B13" s="87"/>
      <c r="C13" s="123"/>
      <c r="D13" s="92"/>
      <c r="E13" s="114"/>
      <c r="F13" s="138"/>
      <c r="H13" s="89"/>
      <c r="I13" s="89"/>
      <c r="J13" s="89"/>
      <c r="K13" s="87"/>
      <c r="L13" s="87"/>
      <c r="M13" s="92"/>
      <c r="N13" s="114"/>
      <c r="O13" s="115"/>
    </row>
    <row r="14" spans="1:15">
      <c r="A14" s="199" t="s">
        <v>19</v>
      </c>
      <c r="B14" s="139"/>
      <c r="C14" s="256">
        <f>17115-1600</f>
        <v>15515</v>
      </c>
      <c r="D14" s="92" t="s">
        <v>3</v>
      </c>
      <c r="E14" s="92">
        <v>4</v>
      </c>
      <c r="F14" s="137">
        <f>C15/50*E14</f>
        <v>127.85440000000003</v>
      </c>
      <c r="H14" s="199" t="s">
        <v>19</v>
      </c>
      <c r="I14" s="89"/>
      <c r="J14" s="89"/>
      <c r="K14" s="139"/>
      <c r="L14" s="205">
        <f>11460-1670</f>
        <v>9790</v>
      </c>
      <c r="M14" s="92" t="s">
        <v>3</v>
      </c>
      <c r="N14" s="92">
        <v>4</v>
      </c>
      <c r="O14" s="93">
        <f>L15/50*N14</f>
        <v>710.05119999999999</v>
      </c>
    </row>
    <row r="15" spans="1:15">
      <c r="A15" s="100" t="s">
        <v>15</v>
      </c>
      <c r="B15" s="101"/>
      <c r="C15" s="140">
        <f>C7+C11-C14+C12+C9</f>
        <v>1598.1800000000003</v>
      </c>
      <c r="D15" s="92"/>
      <c r="E15" s="92"/>
      <c r="F15" s="137"/>
      <c r="H15" s="100" t="s">
        <v>15</v>
      </c>
      <c r="I15" s="89"/>
      <c r="J15" s="89"/>
      <c r="K15" s="101"/>
      <c r="L15" s="141">
        <f>SUM(L7:L11)-L14</f>
        <v>8875.64</v>
      </c>
      <c r="M15" s="92"/>
      <c r="N15" s="92"/>
      <c r="O15" s="93"/>
    </row>
    <row r="16" spans="1:15">
      <c r="A16" s="118"/>
      <c r="B16" s="101"/>
      <c r="C16" s="88"/>
      <c r="D16" s="92" t="s">
        <v>5</v>
      </c>
      <c r="E16" s="104">
        <v>2</v>
      </c>
      <c r="F16" s="142">
        <f>C15/50*E16</f>
        <v>63.927200000000013</v>
      </c>
      <c r="H16" s="89"/>
      <c r="I16" s="89"/>
      <c r="J16" s="89"/>
      <c r="K16" s="101"/>
      <c r="L16" s="87"/>
      <c r="M16" s="92" t="s">
        <v>5</v>
      </c>
      <c r="N16" s="104">
        <v>2</v>
      </c>
      <c r="O16" s="105">
        <f>L15/50*N16</f>
        <v>355.0256</v>
      </c>
    </row>
    <row r="17" spans="1:15">
      <c r="A17" s="143"/>
      <c r="B17" s="124"/>
      <c r="C17" s="108"/>
      <c r="D17" s="109"/>
      <c r="E17" s="104"/>
      <c r="F17" s="243">
        <f>SUM(F7:F16)</f>
        <v>1598.1800000000003</v>
      </c>
      <c r="H17" s="144"/>
      <c r="I17" s="144"/>
      <c r="J17" s="144"/>
      <c r="K17" s="124"/>
      <c r="L17" s="107"/>
      <c r="M17" s="109"/>
      <c r="N17" s="104">
        <f>SUM(N7:N16)</f>
        <v>50</v>
      </c>
      <c r="O17" s="105"/>
    </row>
    <row r="18" spans="1:15">
      <c r="A18" s="106"/>
      <c r="B18" s="124"/>
      <c r="C18" s="108"/>
      <c r="D18" s="109"/>
      <c r="E18" s="109"/>
      <c r="F18" s="145"/>
      <c r="H18" s="144"/>
      <c r="I18" s="144"/>
      <c r="J18" s="144"/>
      <c r="K18" s="124"/>
      <c r="L18" s="107"/>
      <c r="M18" s="109"/>
      <c r="N18" s="109"/>
      <c r="O18" s="146"/>
    </row>
    <row r="19" spans="1:15">
      <c r="A19" s="83"/>
      <c r="B19" s="90"/>
      <c r="C19" s="125"/>
      <c r="D19" s="85"/>
      <c r="E19" s="85"/>
      <c r="F19" s="147"/>
      <c r="K19" s="148"/>
      <c r="M19" s="85"/>
      <c r="N19" s="85"/>
      <c r="O19" s="149"/>
    </row>
    <row r="20" spans="1:15">
      <c r="A20" s="83"/>
      <c r="B20" s="90"/>
      <c r="C20" s="125"/>
      <c r="D20" s="85"/>
      <c r="E20" s="85"/>
      <c r="F20" s="147"/>
      <c r="K20" s="148"/>
      <c r="M20" s="85"/>
      <c r="N20" s="85"/>
      <c r="O20" s="149"/>
    </row>
    <row r="21" spans="1:15">
      <c r="A21" s="241" t="s">
        <v>8</v>
      </c>
      <c r="B21" s="87"/>
      <c r="D21" s="85"/>
      <c r="E21" s="85"/>
      <c r="F21" s="147"/>
      <c r="H21" s="266" t="s">
        <v>8</v>
      </c>
      <c r="I21" s="268"/>
      <c r="J21" s="268"/>
      <c r="K21" s="110"/>
      <c r="M21" s="85"/>
      <c r="N21" s="85"/>
      <c r="O21" s="149"/>
    </row>
    <row r="22" spans="1:15">
      <c r="A22" s="253" t="s">
        <v>103</v>
      </c>
      <c r="B22" s="254"/>
      <c r="C22" s="257">
        <v>780</v>
      </c>
      <c r="D22" s="92" t="s">
        <v>5</v>
      </c>
      <c r="E22" s="85">
        <v>9</v>
      </c>
      <c r="F22" s="147">
        <f>C25/15*E22</f>
        <v>403.1459999999999</v>
      </c>
      <c r="H22" s="97"/>
      <c r="K22" s="110"/>
      <c r="M22" s="85"/>
      <c r="N22" s="85"/>
      <c r="O22" s="149"/>
    </row>
    <row r="23" spans="1:15">
      <c r="A23" s="202" t="s">
        <v>12</v>
      </c>
      <c r="B23" s="87"/>
      <c r="C23" s="125">
        <v>1891.91</v>
      </c>
      <c r="H23" s="97" t="s">
        <v>12</v>
      </c>
      <c r="K23" s="110"/>
      <c r="L23" s="90">
        <v>2604.59</v>
      </c>
      <c r="M23" s="92" t="s">
        <v>5</v>
      </c>
      <c r="N23" s="85">
        <v>9</v>
      </c>
      <c r="O23" s="147">
        <f>L26/15*N23</f>
        <v>1418.7540000000001</v>
      </c>
    </row>
    <row r="24" spans="1:15">
      <c r="A24" s="199" t="s">
        <v>19</v>
      </c>
      <c r="B24" s="110"/>
      <c r="C24" s="258">
        <v>2000</v>
      </c>
      <c r="D24" s="92" t="s">
        <v>3</v>
      </c>
      <c r="E24" s="85">
        <v>6</v>
      </c>
      <c r="F24" s="147">
        <f>+C25/15*E24</f>
        <v>268.76399999999995</v>
      </c>
      <c r="H24" s="253" t="s">
        <v>103</v>
      </c>
      <c r="I24" s="263"/>
      <c r="J24" s="198"/>
      <c r="K24" s="90"/>
      <c r="L24" s="90">
        <v>1430</v>
      </c>
      <c r="O24" s="84"/>
    </row>
    <row r="25" spans="1:15">
      <c r="A25" s="234" t="s">
        <v>117</v>
      </c>
      <c r="B25" s="110"/>
      <c r="C25" s="158">
        <f>+C22+C23-C24</f>
        <v>671.90999999999985</v>
      </c>
      <c r="H25" s="199" t="s">
        <v>19</v>
      </c>
      <c r="K25" s="110"/>
      <c r="L25" s="200">
        <v>1670</v>
      </c>
      <c r="M25" s="92" t="s">
        <v>3</v>
      </c>
      <c r="N25" s="85">
        <v>6</v>
      </c>
      <c r="O25" s="147">
        <f>+L26/15*N25</f>
        <v>945.83600000000013</v>
      </c>
    </row>
    <row r="26" spans="1:15">
      <c r="A26" s="241" t="s">
        <v>53</v>
      </c>
      <c r="B26" s="89" t="s">
        <v>24</v>
      </c>
      <c r="C26" s="136"/>
      <c r="D26" s="114" t="s">
        <v>25</v>
      </c>
      <c r="E26" s="89"/>
      <c r="F26" s="133" t="s">
        <v>26</v>
      </c>
      <c r="H26" s="234" t="s">
        <v>117</v>
      </c>
      <c r="I26" s="89"/>
      <c r="J26" s="89"/>
      <c r="K26" s="89" t="s">
        <v>24</v>
      </c>
      <c r="L26" s="141">
        <f>+L23+L24-L25</f>
        <v>2364.59</v>
      </c>
      <c r="O26" s="84"/>
    </row>
    <row r="27" spans="1:15">
      <c r="A27" s="253"/>
      <c r="B27" s="89"/>
      <c r="C27" s="208"/>
      <c r="D27" s="114"/>
      <c r="E27" s="89"/>
      <c r="F27" s="133"/>
      <c r="H27" s="266" t="s">
        <v>53</v>
      </c>
      <c r="I27" s="267"/>
      <c r="J27" s="267"/>
      <c r="K27" s="89"/>
      <c r="L27" s="87"/>
      <c r="M27" s="114"/>
      <c r="N27" s="89"/>
      <c r="O27" s="114"/>
    </row>
    <row r="28" spans="1:15">
      <c r="A28" s="97" t="s">
        <v>67</v>
      </c>
      <c r="B28" s="89"/>
      <c r="C28" s="209"/>
      <c r="D28" s="114"/>
      <c r="E28" s="89"/>
      <c r="F28" s="133"/>
      <c r="H28" s="97"/>
      <c r="I28" s="89"/>
      <c r="J28" s="89"/>
      <c r="K28" s="89"/>
      <c r="L28" s="87"/>
      <c r="M28" s="114"/>
      <c r="N28" s="89"/>
      <c r="O28" s="114"/>
    </row>
    <row r="29" spans="1:15">
      <c r="A29" s="97" t="s">
        <v>68</v>
      </c>
      <c r="B29" s="89"/>
      <c r="C29" s="209">
        <v>645.14</v>
      </c>
      <c r="D29" s="114"/>
      <c r="E29" s="89"/>
      <c r="F29" s="133"/>
      <c r="H29" s="97"/>
      <c r="I29" s="89"/>
      <c r="J29" s="89"/>
      <c r="K29" s="89"/>
      <c r="L29" s="87"/>
      <c r="M29" s="114"/>
      <c r="N29" s="89"/>
      <c r="O29" s="114"/>
    </row>
    <row r="30" spans="1:15">
      <c r="A30" s="97" t="s">
        <v>63</v>
      </c>
      <c r="B30" s="87"/>
      <c r="C30" s="208"/>
      <c r="D30" s="89"/>
      <c r="E30" s="89"/>
      <c r="F30" s="88"/>
      <c r="H30" s="83" t="s">
        <v>18</v>
      </c>
      <c r="I30" s="263"/>
      <c r="J30" s="264"/>
      <c r="K30" s="254"/>
      <c r="L30" s="263">
        <v>3744.1</v>
      </c>
      <c r="M30" s="89"/>
      <c r="N30" s="89"/>
      <c r="O30" s="87"/>
    </row>
    <row r="31" spans="1:15">
      <c r="A31" s="89"/>
      <c r="B31" s="87"/>
      <c r="C31" s="210"/>
      <c r="D31" s="92" t="s">
        <v>0</v>
      </c>
      <c r="E31" s="92">
        <v>11</v>
      </c>
      <c r="F31" s="137">
        <f>C41/21*E31</f>
        <v>-5695.4752380952377</v>
      </c>
      <c r="H31" s="89"/>
      <c r="I31" s="89"/>
      <c r="J31" s="89"/>
      <c r="K31" s="87"/>
      <c r="L31" s="87"/>
      <c r="M31" s="92" t="s">
        <v>0</v>
      </c>
      <c r="N31" s="92">
        <v>11</v>
      </c>
      <c r="O31" s="93">
        <f>L42/21*N31</f>
        <v>4108.0233333333335</v>
      </c>
    </row>
    <row r="32" spans="1:15">
      <c r="A32" s="97" t="s">
        <v>111</v>
      </c>
      <c r="B32" s="87"/>
      <c r="C32" s="262">
        <v>1611.71</v>
      </c>
      <c r="D32" s="92" t="s">
        <v>93</v>
      </c>
      <c r="E32" s="92"/>
      <c r="F32" s="137"/>
      <c r="H32" s="89"/>
      <c r="I32" s="89"/>
      <c r="J32" s="89"/>
      <c r="K32" s="87"/>
      <c r="L32" s="87"/>
      <c r="M32" s="92"/>
      <c r="N32" s="92"/>
      <c r="O32" s="93"/>
    </row>
    <row r="33" spans="1:18">
      <c r="A33" s="247"/>
      <c r="B33" s="87"/>
      <c r="C33" s="208"/>
      <c r="D33" s="92" t="s">
        <v>2</v>
      </c>
      <c r="E33" s="92">
        <v>4</v>
      </c>
      <c r="F33" s="137">
        <f>C41/21*E33</f>
        <v>-2071.0819047619048</v>
      </c>
      <c r="H33" s="89"/>
      <c r="I33" s="89"/>
      <c r="J33" s="89"/>
      <c r="K33" s="87"/>
      <c r="L33" s="87"/>
      <c r="M33" s="92" t="s">
        <v>2</v>
      </c>
      <c r="N33" s="92">
        <v>4</v>
      </c>
      <c r="O33" s="93">
        <f>L42/21*N33</f>
        <v>1493.8266666666666</v>
      </c>
    </row>
    <row r="34" spans="1:18">
      <c r="A34" s="97" t="s">
        <v>69</v>
      </c>
      <c r="B34" s="87"/>
      <c r="C34" s="208">
        <v>5066.6400000000003</v>
      </c>
      <c r="D34" s="92" t="s">
        <v>93</v>
      </c>
      <c r="E34" s="92"/>
      <c r="F34" s="137"/>
      <c r="G34" s="83"/>
      <c r="H34" s="89"/>
      <c r="I34" s="89"/>
      <c r="J34" s="89"/>
      <c r="K34" s="87"/>
      <c r="L34" s="135"/>
      <c r="M34" s="92"/>
      <c r="N34" s="92"/>
      <c r="O34" s="93"/>
      <c r="R34" s="251">
        <f>+L14+L25+L41+L48</f>
        <v>34536.47</v>
      </c>
    </row>
    <row r="35" spans="1:18">
      <c r="A35" s="97"/>
      <c r="B35" s="87"/>
      <c r="C35" s="209"/>
      <c r="D35" s="92"/>
      <c r="E35" s="114"/>
      <c r="F35" s="138"/>
      <c r="H35" s="97" t="s">
        <v>69</v>
      </c>
      <c r="I35" s="89"/>
      <c r="J35" s="89"/>
      <c r="K35" s="87"/>
      <c r="L35" s="135">
        <f>8357.73+927.89</f>
        <v>9285.619999999999</v>
      </c>
      <c r="M35" s="92"/>
      <c r="N35" s="114"/>
      <c r="O35" s="115"/>
    </row>
    <row r="36" spans="1:18">
      <c r="A36" s="97" t="s">
        <v>13</v>
      </c>
      <c r="B36" s="87"/>
      <c r="C36" s="208">
        <v>858.88</v>
      </c>
      <c r="D36" s="92"/>
      <c r="E36" s="114"/>
      <c r="F36" s="138"/>
      <c r="H36" s="89"/>
      <c r="I36" s="89"/>
      <c r="J36" s="89"/>
      <c r="K36" s="87"/>
      <c r="L36" s="135"/>
      <c r="M36" s="92"/>
      <c r="N36" s="114"/>
      <c r="O36" s="115"/>
    </row>
    <row r="37" spans="1:18">
      <c r="A37" s="89"/>
      <c r="B37" s="87"/>
      <c r="C37" s="211"/>
      <c r="D37" s="92" t="s">
        <v>3</v>
      </c>
      <c r="E37" s="92">
        <v>5</v>
      </c>
      <c r="F37" s="137">
        <f>C41/21*E37</f>
        <v>-2588.8523809523808</v>
      </c>
      <c r="H37" s="97" t="s">
        <v>13</v>
      </c>
      <c r="I37" s="89"/>
      <c r="J37" s="89"/>
      <c r="K37" s="87"/>
      <c r="L37" s="135">
        <v>1424.96</v>
      </c>
      <c r="M37" s="92" t="s">
        <v>3</v>
      </c>
      <c r="N37" s="150">
        <v>5</v>
      </c>
      <c r="O37" s="151">
        <f>L42/21*N37</f>
        <v>1867.2833333333333</v>
      </c>
    </row>
    <row r="38" spans="1:18">
      <c r="A38" s="170" t="s">
        <v>135</v>
      </c>
      <c r="B38" s="153"/>
      <c r="C38" s="259">
        <v>6659.45</v>
      </c>
      <c r="D38" s="92" t="s">
        <v>93</v>
      </c>
      <c r="E38" s="92"/>
      <c r="F38" s="137"/>
      <c r="H38" s="89"/>
      <c r="I38" s="89"/>
      <c r="J38" s="89"/>
      <c r="K38" s="153"/>
      <c r="L38" s="135"/>
      <c r="M38" s="89"/>
      <c r="N38" s="150"/>
      <c r="O38" s="150"/>
    </row>
    <row r="39" spans="1:18">
      <c r="A39" s="89"/>
      <c r="B39" s="87"/>
      <c r="C39" s="212"/>
      <c r="D39" s="114"/>
      <c r="E39" s="114"/>
      <c r="F39" s="133"/>
      <c r="H39" s="83" t="s">
        <v>135</v>
      </c>
      <c r="I39" s="89"/>
      <c r="J39" s="89"/>
      <c r="K39" s="87"/>
      <c r="L39" s="265">
        <v>11672.91</v>
      </c>
      <c r="M39" s="89" t="s">
        <v>130</v>
      </c>
      <c r="N39" s="89">
        <v>1</v>
      </c>
      <c r="O39" s="137">
        <f>L42/21*N39</f>
        <v>373.45666666666665</v>
      </c>
    </row>
    <row r="40" spans="1:18">
      <c r="A40" s="199" t="s">
        <v>19</v>
      </c>
      <c r="B40" s="139"/>
      <c r="C40" s="260">
        <v>25715</v>
      </c>
      <c r="D40" s="114" t="s">
        <v>130</v>
      </c>
      <c r="E40" s="114">
        <v>1</v>
      </c>
      <c r="F40" s="137">
        <f>C41/21*E40</f>
        <v>-517.77047619047619</v>
      </c>
      <c r="H40" s="89"/>
      <c r="I40" s="89"/>
      <c r="J40" s="89"/>
      <c r="K40" s="139"/>
      <c r="L40" s="205"/>
      <c r="M40" s="89"/>
      <c r="N40" s="89"/>
      <c r="O40" s="89"/>
    </row>
    <row r="41" spans="1:18">
      <c r="A41" s="118" t="s">
        <v>15</v>
      </c>
      <c r="B41" s="101"/>
      <c r="C41" s="274">
        <f>SUM(C29:C39)-C40</f>
        <v>-10873.18</v>
      </c>
      <c r="D41" s="89"/>
      <c r="E41" s="89"/>
      <c r="F41" s="154"/>
      <c r="H41" s="199" t="s">
        <v>19</v>
      </c>
      <c r="I41" s="89"/>
      <c r="J41" s="89"/>
      <c r="K41" s="101"/>
      <c r="L41" s="205">
        <v>18285</v>
      </c>
      <c r="M41" s="89"/>
      <c r="N41" s="89"/>
      <c r="O41" s="89"/>
    </row>
    <row r="42" spans="1:18">
      <c r="A42" s="317" t="s">
        <v>161</v>
      </c>
      <c r="B42" s="148"/>
      <c r="F42" s="248">
        <f>SUM(F31:F41)</f>
        <v>-10873.18</v>
      </c>
      <c r="H42" s="118" t="s">
        <v>15</v>
      </c>
      <c r="K42" s="110"/>
      <c r="L42" s="213">
        <f>SUM(L30:L40)-L41</f>
        <v>7842.59</v>
      </c>
      <c r="N42" s="32">
        <f>SUM(N31:N41)</f>
        <v>21</v>
      </c>
      <c r="O42" s="248">
        <f>SUM(O31:O41)</f>
        <v>7842.59</v>
      </c>
    </row>
    <row r="43" spans="1:18">
      <c r="A43" s="121"/>
      <c r="B43" s="148"/>
      <c r="F43" s="155"/>
      <c r="K43" s="110"/>
    </row>
    <row r="44" spans="1:18">
      <c r="A44" s="242" t="s">
        <v>91</v>
      </c>
      <c r="B44" s="110"/>
      <c r="C44" s="125"/>
      <c r="K44" s="110"/>
    </row>
    <row r="45" spans="1:18">
      <c r="A45" s="83" t="s">
        <v>63</v>
      </c>
      <c r="B45" s="110"/>
      <c r="C45" s="125">
        <v>554.11</v>
      </c>
      <c r="D45" s="125"/>
      <c r="H45" s="273" t="s">
        <v>91</v>
      </c>
      <c r="I45" s="268"/>
      <c r="J45" s="268"/>
      <c r="K45" s="110"/>
      <c r="L45" s="90"/>
    </row>
    <row r="46" spans="1:18">
      <c r="A46" s="170" t="s">
        <v>135</v>
      </c>
      <c r="B46" s="110"/>
      <c r="C46" s="125">
        <v>4205.97</v>
      </c>
      <c r="D46" s="125"/>
      <c r="H46" s="97" t="s">
        <v>95</v>
      </c>
      <c r="I46" s="89"/>
      <c r="K46" s="110"/>
      <c r="L46" s="90">
        <v>3724.81</v>
      </c>
    </row>
    <row r="47" spans="1:18">
      <c r="A47" s="97" t="s">
        <v>107</v>
      </c>
      <c r="B47" s="90"/>
      <c r="C47" s="156">
        <v>2576.69</v>
      </c>
      <c r="D47" s="157"/>
      <c r="H47" s="83" t="s">
        <v>135</v>
      </c>
      <c r="K47" s="90"/>
      <c r="L47" s="270">
        <v>7372.36</v>
      </c>
    </row>
    <row r="48" spans="1:18">
      <c r="A48" s="199" t="s">
        <v>19</v>
      </c>
      <c r="B48" s="90"/>
      <c r="C48" s="261">
        <v>7575</v>
      </c>
      <c r="D48" s="158"/>
      <c r="H48" s="199" t="s">
        <v>19</v>
      </c>
      <c r="K48" s="110"/>
      <c r="L48" s="271">
        <v>4791.47</v>
      </c>
    </row>
    <row r="49" spans="1:19">
      <c r="A49" s="118" t="s">
        <v>15</v>
      </c>
      <c r="B49" s="90"/>
      <c r="C49" s="159">
        <f>+C45+C46+C47-C48</f>
        <v>-238.22999999999956</v>
      </c>
      <c r="H49" s="118" t="s">
        <v>15</v>
      </c>
      <c r="K49" s="110"/>
      <c r="L49" s="269">
        <f>+L46+L47-L48</f>
        <v>6305.7</v>
      </c>
      <c r="O49" s="251"/>
      <c r="S49" s="32">
        <f>35455/71</f>
        <v>499.36619718309856</v>
      </c>
    </row>
    <row r="50" spans="1:19">
      <c r="A50" s="97"/>
      <c r="B50" s="90"/>
      <c r="C50" s="159"/>
      <c r="H50" s="97"/>
      <c r="K50" s="110"/>
      <c r="L50" s="263"/>
      <c r="S50" s="32">
        <f>+S49*21</f>
        <v>10486.69014084507</v>
      </c>
    </row>
    <row r="51" spans="1:19" ht="12.75" customHeight="1">
      <c r="A51" s="160"/>
      <c r="B51" s="153"/>
      <c r="C51" s="158"/>
      <c r="D51" s="161"/>
      <c r="E51" s="161"/>
      <c r="F51" s="162"/>
      <c r="G51" s="161"/>
      <c r="H51" s="97"/>
      <c r="I51" s="228"/>
      <c r="J51" s="228"/>
      <c r="K51" s="153"/>
      <c r="L51" s="272"/>
    </row>
    <row r="52" spans="1:19">
      <c r="A52" s="152"/>
      <c r="B52" s="153"/>
      <c r="C52" s="163"/>
      <c r="D52" s="161"/>
      <c r="E52" s="161"/>
      <c r="F52" s="162"/>
      <c r="G52" s="161"/>
      <c r="H52" s="160"/>
      <c r="I52" s="161"/>
      <c r="J52" s="161"/>
      <c r="K52" s="164"/>
      <c r="L52" s="164"/>
    </row>
    <row r="53" spans="1:19">
      <c r="A53" s="152" t="s">
        <v>137</v>
      </c>
      <c r="B53" s="153"/>
      <c r="C53" s="165">
        <v>29918.3</v>
      </c>
      <c r="D53" s="161"/>
      <c r="E53" s="161"/>
      <c r="F53" s="162"/>
      <c r="G53" s="161"/>
      <c r="H53" s="161"/>
      <c r="I53" s="161"/>
      <c r="J53" s="161"/>
      <c r="K53" s="164"/>
      <c r="L53" s="164"/>
    </row>
    <row r="54" spans="1:19">
      <c r="A54" s="152"/>
      <c r="B54" s="153"/>
      <c r="C54" s="165"/>
      <c r="D54" s="161"/>
      <c r="E54" s="161"/>
      <c r="F54" s="162"/>
      <c r="G54" s="161"/>
      <c r="H54" s="161"/>
      <c r="I54" s="229"/>
      <c r="J54" s="229"/>
      <c r="K54" s="229"/>
      <c r="L54" s="229"/>
      <c r="M54" s="229"/>
      <c r="N54" s="229"/>
    </row>
    <row r="55" spans="1:19">
      <c r="A55" s="342"/>
      <c r="B55" s="342"/>
      <c r="C55" s="342"/>
      <c r="D55" s="342"/>
      <c r="E55" s="342"/>
      <c r="F55" s="342"/>
      <c r="G55" s="342"/>
      <c r="H55" s="167"/>
      <c r="K55" s="110"/>
    </row>
    <row r="56" spans="1:19">
      <c r="A56" s="168" t="s">
        <v>138</v>
      </c>
      <c r="B56" s="168"/>
      <c r="C56" s="169"/>
      <c r="D56" s="170"/>
      <c r="E56" s="170"/>
      <c r="F56" s="169"/>
      <c r="G56" s="168"/>
      <c r="I56" s="83"/>
      <c r="J56" s="83"/>
      <c r="K56" s="91"/>
    </row>
    <row r="57" spans="1:19">
      <c r="A57" s="83"/>
      <c r="B57" s="83"/>
      <c r="C57" s="82"/>
      <c r="D57" s="83"/>
      <c r="E57" s="83"/>
      <c r="F57" s="82"/>
      <c r="G57" s="83"/>
      <c r="H57" s="83"/>
      <c r="I57" s="83"/>
      <c r="J57" s="83"/>
      <c r="K57" s="91"/>
    </row>
    <row r="58" spans="1:19">
      <c r="A58" s="91" t="s">
        <v>0</v>
      </c>
      <c r="B58" s="127">
        <f>F7+O7+O31+F31-C53</f>
        <v>-25640.412704761904</v>
      </c>
      <c r="C58" s="128" t="s">
        <v>16</v>
      </c>
      <c r="D58" s="91"/>
      <c r="E58" s="90"/>
      <c r="F58" s="82"/>
      <c r="G58" s="83"/>
      <c r="H58" s="83"/>
      <c r="I58" s="83"/>
      <c r="J58" s="83"/>
      <c r="K58" s="127"/>
    </row>
    <row r="59" spans="1:19">
      <c r="A59" s="91"/>
      <c r="B59" s="91"/>
      <c r="C59" s="128"/>
      <c r="D59" s="91"/>
      <c r="E59" s="83"/>
      <c r="F59" s="82"/>
      <c r="G59" s="83"/>
      <c r="H59" s="91"/>
      <c r="I59" s="83"/>
      <c r="J59" s="83"/>
      <c r="K59" s="91"/>
    </row>
    <row r="60" spans="1:19">
      <c r="A60" s="91" t="s">
        <v>2</v>
      </c>
      <c r="B60" s="129">
        <f>F9+O9+O33+F33+C49+L49</f>
        <v>8841.837161904763</v>
      </c>
      <c r="C60" s="128"/>
      <c r="D60" s="91"/>
      <c r="E60" s="83"/>
      <c r="F60" s="82"/>
      <c r="G60" s="83"/>
      <c r="H60" s="91"/>
      <c r="I60" s="83"/>
      <c r="J60" s="83"/>
      <c r="K60" s="129"/>
    </row>
    <row r="61" spans="1:19">
      <c r="A61" s="91"/>
      <c r="B61" s="91"/>
      <c r="C61" s="128"/>
      <c r="D61" s="91"/>
      <c r="E61" s="83"/>
      <c r="F61" s="82"/>
      <c r="G61" s="83"/>
      <c r="H61" s="91"/>
      <c r="I61" s="83"/>
      <c r="J61" s="83"/>
      <c r="K61" s="91"/>
    </row>
    <row r="62" spans="1:19">
      <c r="A62" s="91" t="s">
        <v>3</v>
      </c>
      <c r="B62" s="129">
        <f>F14+O14+O37+F37+F24+O25</f>
        <v>1330.9365523809527</v>
      </c>
      <c r="C62" s="128"/>
      <c r="D62" s="91"/>
      <c r="E62" s="83"/>
      <c r="F62" s="82"/>
      <c r="G62" s="83"/>
      <c r="H62" s="91"/>
      <c r="I62" s="83"/>
      <c r="J62" s="83"/>
      <c r="K62" s="129"/>
    </row>
    <row r="63" spans="1:19">
      <c r="A63" s="91"/>
      <c r="B63" s="91"/>
      <c r="C63" s="128"/>
      <c r="D63" s="91"/>
      <c r="E63" s="83"/>
      <c r="F63" s="82"/>
      <c r="G63" s="83"/>
      <c r="H63" s="91"/>
      <c r="I63" s="83"/>
      <c r="J63" s="83"/>
      <c r="K63" s="91"/>
    </row>
    <row r="64" spans="1:19">
      <c r="A64" s="91" t="s">
        <v>5</v>
      </c>
      <c r="B64" s="129">
        <f>F16+O16+F40+O39+F22+O23</f>
        <v>2096.5389904761905</v>
      </c>
      <c r="C64" s="128"/>
      <c r="D64" s="91"/>
      <c r="E64" s="83"/>
      <c r="F64" s="82"/>
      <c r="G64" s="83"/>
      <c r="H64" s="91"/>
      <c r="I64" s="83"/>
      <c r="J64" s="83"/>
      <c r="K64" s="129"/>
    </row>
    <row r="65" spans="1:11">
      <c r="A65" s="83"/>
      <c r="B65" s="91"/>
      <c r="C65" s="128"/>
      <c r="D65" s="91"/>
      <c r="E65" s="83"/>
      <c r="F65" s="82"/>
      <c r="G65" s="83"/>
      <c r="H65" s="91"/>
      <c r="I65" s="83"/>
      <c r="J65" s="83"/>
      <c r="K65" s="83"/>
    </row>
    <row r="66" spans="1:11">
      <c r="A66" s="171" t="s">
        <v>29</v>
      </c>
      <c r="B66" s="172">
        <v>0</v>
      </c>
      <c r="H66" s="83"/>
      <c r="K66" s="172"/>
    </row>
    <row r="67" spans="1:11">
      <c r="H67" s="171"/>
    </row>
  </sheetData>
  <mergeCells count="1">
    <mergeCell ref="A55:G55"/>
  </mergeCells>
  <phoneticPr fontId="0" type="noConversion"/>
  <pageMargins left="0.70866141732283472" right="0.70866141732283472" top="0.74803149606299213" bottom="0.74803149606299213" header="0.31496062992125984" footer="0.31496062992125984"/>
  <pageSetup paperSize="8"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0"/>
  <sheetViews>
    <sheetView workbookViewId="0">
      <selection activeCell="H27" sqref="H27"/>
    </sheetView>
  </sheetViews>
  <sheetFormatPr defaultRowHeight="15"/>
  <cols>
    <col min="1" max="1" width="25" customWidth="1"/>
    <col min="2" max="2" width="21.28515625" customWidth="1"/>
    <col min="3" max="3" width="11" bestFit="1" customWidth="1"/>
    <col min="4" max="4" width="14" customWidth="1"/>
    <col min="5" max="5" width="11" bestFit="1" customWidth="1"/>
    <col min="6" max="6" width="12" style="6" bestFit="1" customWidth="1"/>
    <col min="8" max="8" width="13.85546875" bestFit="1" customWidth="1"/>
    <col min="10" max="10" width="14.85546875" customWidth="1"/>
    <col min="11" max="11" width="27.85546875" customWidth="1"/>
    <col min="12" max="12" width="15.28515625" customWidth="1"/>
    <col min="13" max="13" width="11" bestFit="1" customWidth="1"/>
  </cols>
  <sheetData>
    <row r="1" spans="1:12" ht="21">
      <c r="A1" s="74" t="s">
        <v>77</v>
      </c>
      <c r="K1" s="74"/>
    </row>
    <row r="3" spans="1:12" s="31" customFormat="1" ht="18.75">
      <c r="A3" s="31" t="s">
        <v>73</v>
      </c>
      <c r="F3" s="177"/>
    </row>
    <row r="4" spans="1:12" s="31" customFormat="1" ht="18.75">
      <c r="A4" s="13" t="s">
        <v>99</v>
      </c>
      <c r="B4" s="252" t="s">
        <v>132</v>
      </c>
      <c r="C4" s="174"/>
      <c r="D4" s="174"/>
      <c r="E4" s="174"/>
      <c r="F4" s="299"/>
      <c r="H4" s="70">
        <v>4000</v>
      </c>
    </row>
    <row r="5" spans="1:12" s="31" customFormat="1" ht="18.75">
      <c r="A5" s="13" t="s">
        <v>96</v>
      </c>
      <c r="B5" s="174"/>
      <c r="C5" s="174"/>
      <c r="D5" s="174"/>
      <c r="E5" s="174"/>
      <c r="F5" s="79"/>
    </row>
    <row r="6" spans="1:12" s="31" customFormat="1" ht="18.75">
      <c r="A6" s="13" t="s">
        <v>113</v>
      </c>
      <c r="B6" s="174"/>
      <c r="C6" s="174"/>
      <c r="D6" s="174"/>
      <c r="E6" s="174"/>
      <c r="F6" s="79">
        <v>1948.88</v>
      </c>
    </row>
    <row r="7" spans="1:12">
      <c r="A7" s="13" t="s">
        <v>81</v>
      </c>
      <c r="B7" s="173"/>
      <c r="C7" s="173"/>
      <c r="D7" s="173"/>
      <c r="E7" s="173"/>
      <c r="F7" s="79">
        <v>2440</v>
      </c>
    </row>
    <row r="8" spans="1:12">
      <c r="A8" s="1" t="s">
        <v>74</v>
      </c>
      <c r="B8" s="1"/>
      <c r="F8" s="70">
        <v>3838.12</v>
      </c>
      <c r="G8" s="173"/>
      <c r="H8" s="173"/>
      <c r="I8" s="173"/>
      <c r="J8" s="173"/>
      <c r="K8" s="175"/>
      <c r="L8" s="130"/>
    </row>
    <row r="9" spans="1:12">
      <c r="A9" s="1" t="s">
        <v>75</v>
      </c>
      <c r="B9" s="1"/>
      <c r="F9" s="70">
        <v>451.4</v>
      </c>
      <c r="K9" s="1"/>
      <c r="L9" s="70"/>
    </row>
    <row r="10" spans="1:12">
      <c r="A10" s="1" t="s">
        <v>86</v>
      </c>
      <c r="F10" s="70">
        <v>600.01</v>
      </c>
      <c r="G10" s="180"/>
      <c r="H10" s="180"/>
      <c r="I10" s="180"/>
      <c r="J10" s="180"/>
      <c r="K10" s="180"/>
      <c r="L10" s="70"/>
    </row>
    <row r="11" spans="1:12">
      <c r="A11" s="1" t="s">
        <v>82</v>
      </c>
      <c r="F11" s="70">
        <v>1078</v>
      </c>
      <c r="G11" s="180"/>
      <c r="H11" s="180"/>
      <c r="I11" s="180"/>
      <c r="J11" s="180"/>
      <c r="K11" s="180"/>
      <c r="L11" s="70"/>
    </row>
    <row r="12" spans="1:12">
      <c r="A12" s="1" t="s">
        <v>64</v>
      </c>
      <c r="B12" s="70"/>
      <c r="F12" s="70">
        <v>2137.14</v>
      </c>
      <c r="G12" s="180"/>
      <c r="H12" s="180"/>
      <c r="I12" s="180"/>
      <c r="J12" s="180"/>
      <c r="K12" s="180"/>
      <c r="L12" s="70"/>
    </row>
    <row r="13" spans="1:12" s="13" customFormat="1">
      <c r="A13" s="1" t="s">
        <v>98</v>
      </c>
      <c r="B13" s="70"/>
      <c r="F13" s="70"/>
      <c r="G13" s="180"/>
      <c r="H13" s="180"/>
      <c r="I13" s="180"/>
      <c r="J13" s="180"/>
      <c r="K13" s="180"/>
      <c r="L13" s="79"/>
    </row>
    <row r="14" spans="1:12">
      <c r="A14" s="1" t="s">
        <v>101</v>
      </c>
      <c r="F14" s="179"/>
      <c r="G14" s="180"/>
      <c r="H14" s="180"/>
      <c r="I14" s="180"/>
      <c r="J14" s="180"/>
      <c r="K14" s="180"/>
      <c r="L14" s="70"/>
    </row>
    <row r="15" spans="1:12">
      <c r="A15" s="1" t="s">
        <v>102</v>
      </c>
      <c r="C15" s="176"/>
      <c r="F15" s="178">
        <v>655.04999999999995</v>
      </c>
      <c r="G15" s="180"/>
      <c r="H15" s="180"/>
      <c r="I15" s="180"/>
      <c r="J15" s="180"/>
      <c r="K15" s="180"/>
      <c r="L15" s="70"/>
    </row>
    <row r="16" spans="1:12">
      <c r="A16" s="1" t="s">
        <v>97</v>
      </c>
      <c r="C16" s="176"/>
      <c r="F16" s="178">
        <v>1462.78</v>
      </c>
      <c r="G16" s="180"/>
      <c r="H16" s="180"/>
      <c r="I16" s="180"/>
      <c r="J16" s="180"/>
      <c r="K16" s="180"/>
      <c r="L16" s="70"/>
    </row>
    <row r="17" spans="1:14">
      <c r="A17" s="1" t="s">
        <v>100</v>
      </c>
      <c r="C17" s="176"/>
      <c r="F17" s="182">
        <v>2200</v>
      </c>
      <c r="G17" s="180"/>
      <c r="H17" s="180"/>
      <c r="I17" s="180"/>
      <c r="J17" s="180"/>
      <c r="K17" s="181"/>
      <c r="L17" s="71"/>
    </row>
    <row r="18" spans="1:14">
      <c r="A18" s="1" t="s">
        <v>162</v>
      </c>
      <c r="C18" s="176"/>
      <c r="F18" s="178">
        <v>325</v>
      </c>
      <c r="G18" s="180"/>
      <c r="H18" s="180"/>
      <c r="I18" s="180"/>
      <c r="J18" s="180"/>
      <c r="K18" s="181"/>
      <c r="L18" s="71"/>
    </row>
    <row r="19" spans="1:14">
      <c r="A19" s="1" t="s">
        <v>163</v>
      </c>
      <c r="C19" s="176"/>
      <c r="F19" s="178">
        <v>3250</v>
      </c>
      <c r="G19" s="180"/>
      <c r="H19" s="180"/>
      <c r="I19" s="180"/>
      <c r="J19" s="180"/>
      <c r="K19" s="181"/>
      <c r="L19" s="71"/>
    </row>
    <row r="20" spans="1:14" s="13" customFormat="1">
      <c r="A20" s="318" t="s">
        <v>164</v>
      </c>
      <c r="B20" s="318"/>
      <c r="C20" s="318"/>
      <c r="D20" s="318"/>
      <c r="E20" s="318"/>
      <c r="F20" s="299">
        <v>2031.05</v>
      </c>
      <c r="G20" s="180"/>
      <c r="H20" s="180"/>
      <c r="I20" s="180"/>
      <c r="J20" s="180"/>
      <c r="K20" s="180"/>
      <c r="L20" s="79"/>
    </row>
    <row r="21" spans="1:14">
      <c r="A21" s="319" t="s">
        <v>165</v>
      </c>
      <c r="B21" s="246"/>
      <c r="C21" s="246"/>
      <c r="D21" s="246"/>
      <c r="E21" s="246"/>
      <c r="F21" s="320">
        <v>2698.7</v>
      </c>
      <c r="K21" s="1"/>
      <c r="L21" s="70"/>
    </row>
    <row r="22" spans="1:14">
      <c r="A22" s="1"/>
      <c r="F22" s="179"/>
      <c r="K22" s="1"/>
      <c r="L22" s="70"/>
    </row>
    <row r="23" spans="1:14">
      <c r="A23" s="1"/>
      <c r="F23" s="179">
        <f>SUM(F6:F22)</f>
        <v>25116.129999999997</v>
      </c>
      <c r="K23" s="1"/>
      <c r="L23" s="70"/>
    </row>
    <row r="24" spans="1:14">
      <c r="A24" s="1"/>
      <c r="F24" s="179"/>
      <c r="K24" s="1"/>
      <c r="L24" s="70"/>
    </row>
    <row r="25" spans="1:14">
      <c r="C25" t="s">
        <v>133</v>
      </c>
      <c r="J25" s="1"/>
      <c r="L25" s="176"/>
    </row>
    <row r="26" spans="1:14">
      <c r="A26" s="1" t="s">
        <v>0</v>
      </c>
      <c r="B26" s="1"/>
      <c r="C26" s="1">
        <v>1511</v>
      </c>
      <c r="D26" s="70">
        <f>F23/C32*C26+1000</f>
        <v>8852.3634243740944</v>
      </c>
      <c r="E26" s="324" t="s">
        <v>44</v>
      </c>
      <c r="F26" s="70"/>
      <c r="J26" s="1"/>
      <c r="L26" s="176"/>
      <c r="N26" s="6"/>
    </row>
    <row r="27" spans="1:14">
      <c r="A27" s="1" t="s">
        <v>2</v>
      </c>
      <c r="B27" s="1"/>
      <c r="C27" s="1">
        <v>499</v>
      </c>
      <c r="D27" s="70">
        <f>F23*C27/C32+1000</f>
        <v>3593.2027457066001</v>
      </c>
      <c r="E27" s="324" t="s">
        <v>44</v>
      </c>
      <c r="F27" s="70"/>
      <c r="H27" s="8"/>
      <c r="J27" s="1"/>
      <c r="L27" s="71"/>
      <c r="N27" s="6"/>
    </row>
    <row r="28" spans="1:14">
      <c r="A28" s="1" t="s">
        <v>3</v>
      </c>
      <c r="B28" s="1"/>
      <c r="C28" s="1">
        <v>500</v>
      </c>
      <c r="D28" s="70">
        <f>F23/C32*C28+1000</f>
        <v>3598.3995447961929</v>
      </c>
      <c r="E28" s="324" t="s">
        <v>44</v>
      </c>
      <c r="F28" s="70"/>
      <c r="J28" s="1"/>
      <c r="L28" s="176"/>
      <c r="N28" s="6"/>
    </row>
    <row r="29" spans="1:14">
      <c r="A29" s="1" t="s">
        <v>5</v>
      </c>
      <c r="B29" s="1"/>
      <c r="C29" s="1">
        <v>614</v>
      </c>
      <c r="D29" s="70">
        <f>F23/C32*C29</f>
        <v>3190.8346410097247</v>
      </c>
      <c r="E29" s="9"/>
      <c r="F29" s="70"/>
      <c r="J29" s="1"/>
      <c r="L29" s="72"/>
      <c r="N29" s="6"/>
    </row>
    <row r="30" spans="1:14">
      <c r="A30" s="1" t="s">
        <v>29</v>
      </c>
      <c r="B30" s="1"/>
      <c r="C30" s="235">
        <v>1215</v>
      </c>
      <c r="D30" s="236">
        <f>F23/C32*C30+1000</f>
        <v>7314.1108938547486</v>
      </c>
      <c r="E30" s="324" t="s">
        <v>44</v>
      </c>
      <c r="F30" s="70"/>
      <c r="J30" s="1"/>
      <c r="K30" s="70"/>
      <c r="L30" s="72"/>
      <c r="N30" s="80"/>
    </row>
    <row r="31" spans="1:14">
      <c r="A31" s="1" t="s">
        <v>120</v>
      </c>
      <c r="B31" s="1"/>
      <c r="C31" s="235">
        <v>494</v>
      </c>
      <c r="D31" s="236">
        <f>F23/C32*C31</f>
        <v>2567.2187502586385</v>
      </c>
      <c r="E31" s="183"/>
      <c r="F31" s="70"/>
      <c r="J31" s="1"/>
      <c r="K31" s="70"/>
      <c r="L31" s="72"/>
      <c r="N31" s="237"/>
    </row>
    <row r="32" spans="1:14">
      <c r="A32" s="1"/>
      <c r="B32" s="1"/>
      <c r="C32" s="1">
        <f>SUM(C26:C31)</f>
        <v>4833</v>
      </c>
      <c r="D32" s="183">
        <f>SUM(D26:D31)</f>
        <v>29116.129999999997</v>
      </c>
      <c r="E32" s="1"/>
      <c r="F32" s="70"/>
      <c r="J32" s="1"/>
      <c r="K32" s="70"/>
      <c r="M32" s="6"/>
      <c r="N32" s="81"/>
    </row>
    <row r="33" spans="1:4">
      <c r="D33" s="81"/>
    </row>
    <row r="35" spans="1:4">
      <c r="A35" s="324" t="s">
        <v>166</v>
      </c>
    </row>
    <row r="36" spans="1:4">
      <c r="C36" s="70"/>
    </row>
    <row r="37" spans="1:4">
      <c r="C37" s="70"/>
    </row>
    <row r="38" spans="1:4">
      <c r="C38" s="70"/>
    </row>
    <row r="39" spans="1:4">
      <c r="C39" s="70"/>
    </row>
    <row r="40" spans="1:4">
      <c r="C40" s="70"/>
    </row>
  </sheetData>
  <phoneticPr fontId="0" type="noConversion"/>
  <pageMargins left="0.7" right="0.7" top="0.75" bottom="0.75" header="0.3" footer="0.3"/>
  <pageSetup paperSize="8" scale="9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2"/>
  <sheetViews>
    <sheetView tabSelected="1" topLeftCell="A28" workbookViewId="0">
      <selection activeCell="G44" sqref="G44"/>
    </sheetView>
  </sheetViews>
  <sheetFormatPr defaultRowHeight="15"/>
  <cols>
    <col min="1" max="1" width="35.140625" customWidth="1"/>
    <col min="2" max="2" width="16.28515625" customWidth="1"/>
    <col min="3" max="3" width="19.5703125" style="185" customWidth="1"/>
    <col min="4" max="4" width="12.7109375" customWidth="1"/>
    <col min="5" max="5" width="5.85546875" customWidth="1"/>
    <col min="6" max="6" width="13.140625" customWidth="1"/>
    <col min="9" max="9" width="21.28515625" customWidth="1"/>
    <col min="10" max="10" width="14.5703125" customWidth="1"/>
    <col min="13" max="13" width="13.42578125" bestFit="1" customWidth="1"/>
    <col min="14" max="14" width="14" customWidth="1"/>
    <col min="15" max="15" width="12.5703125" customWidth="1"/>
    <col min="16" max="16" width="5.5703125" customWidth="1"/>
    <col min="17" max="17" width="13" customWidth="1"/>
    <col min="20" max="20" width="9.5703125" bestFit="1" customWidth="1"/>
  </cols>
  <sheetData>
    <row r="1" spans="1:17" ht="18.75">
      <c r="A1" s="5" t="s">
        <v>14</v>
      </c>
    </row>
    <row r="2" spans="1:17" ht="45">
      <c r="A2" s="326" t="s">
        <v>147</v>
      </c>
      <c r="B2" s="132" t="s">
        <v>109</v>
      </c>
      <c r="M2" s="90" t="s">
        <v>110</v>
      </c>
    </row>
    <row r="3" spans="1:17">
      <c r="B3" s="6"/>
      <c r="M3" s="6"/>
    </row>
    <row r="4" spans="1:17">
      <c r="A4" s="44" t="s">
        <v>104</v>
      </c>
      <c r="B4" s="26"/>
      <c r="C4" s="203">
        <v>824.74</v>
      </c>
      <c r="D4" s="21" t="s">
        <v>149</v>
      </c>
      <c r="E4" s="18"/>
      <c r="F4" s="21" t="s">
        <v>26</v>
      </c>
      <c r="G4" s="4"/>
      <c r="H4" s="18"/>
      <c r="I4" s="18"/>
      <c r="J4" s="35"/>
      <c r="K4" s="18"/>
      <c r="L4" s="18"/>
      <c r="M4" s="26"/>
      <c r="N4" s="18"/>
      <c r="O4" s="21" t="s">
        <v>149</v>
      </c>
      <c r="P4" s="18"/>
      <c r="Q4" s="21" t="s">
        <v>26</v>
      </c>
    </row>
    <row r="5" spans="1:17">
      <c r="A5" s="44" t="s">
        <v>70</v>
      </c>
      <c r="B5" s="26"/>
      <c r="C5" s="187">
        <v>699.32</v>
      </c>
      <c r="D5" s="21"/>
      <c r="E5" s="18"/>
      <c r="F5" s="21"/>
      <c r="G5" s="4"/>
      <c r="H5" s="44" t="s">
        <v>70</v>
      </c>
      <c r="I5" s="18"/>
      <c r="J5" s="35"/>
      <c r="K5" s="18"/>
      <c r="L5" s="18"/>
      <c r="M5" s="73">
        <v>6174.03</v>
      </c>
      <c r="N5" s="73"/>
      <c r="O5" s="21"/>
      <c r="P5" s="18"/>
      <c r="Q5" s="21"/>
    </row>
    <row r="6" spans="1:17">
      <c r="A6" s="44" t="s">
        <v>71</v>
      </c>
      <c r="B6" s="26"/>
      <c r="C6" s="187">
        <v>483.12</v>
      </c>
      <c r="D6" s="18"/>
      <c r="E6" s="18"/>
      <c r="F6" s="18"/>
      <c r="H6" s="44" t="s">
        <v>106</v>
      </c>
      <c r="I6" s="18"/>
      <c r="J6" s="18"/>
      <c r="K6" s="18"/>
      <c r="L6" s="18"/>
      <c r="M6" s="73"/>
      <c r="N6" s="73"/>
      <c r="O6" s="18"/>
      <c r="P6" s="18"/>
      <c r="Q6" s="18"/>
    </row>
    <row r="7" spans="1:17">
      <c r="A7" s="54"/>
      <c r="B7" s="26"/>
      <c r="C7" s="184"/>
      <c r="D7" s="45" t="s">
        <v>0</v>
      </c>
      <c r="E7" s="224">
        <v>35</v>
      </c>
      <c r="F7" s="201">
        <f>C23/E18*E7</f>
        <v>5879.504615384616</v>
      </c>
      <c r="G7" s="7"/>
      <c r="H7" s="44" t="s">
        <v>148</v>
      </c>
      <c r="I7" s="18"/>
      <c r="J7" s="18"/>
      <c r="K7" s="18"/>
      <c r="L7" s="18"/>
      <c r="M7" s="73">
        <v>250.1</v>
      </c>
      <c r="N7" s="18"/>
      <c r="O7" s="45" t="s">
        <v>0</v>
      </c>
      <c r="P7" s="224">
        <v>35</v>
      </c>
      <c r="Q7" s="201">
        <f>M23/P18*P7</f>
        <v>7838.8638461538458</v>
      </c>
    </row>
    <row r="8" spans="1:17">
      <c r="A8" s="253" t="s">
        <v>150</v>
      </c>
      <c r="B8" s="254"/>
      <c r="C8" s="255">
        <v>2871</v>
      </c>
      <c r="D8" s="45"/>
      <c r="E8" s="224"/>
      <c r="F8" s="45"/>
      <c r="G8" s="4"/>
      <c r="H8" s="44" t="s">
        <v>71</v>
      </c>
      <c r="I8" s="44"/>
      <c r="J8" s="44"/>
      <c r="K8" s="44"/>
      <c r="L8" s="44"/>
      <c r="M8" s="231">
        <v>1150.46</v>
      </c>
      <c r="N8" s="18"/>
      <c r="O8" s="45"/>
      <c r="P8" s="224"/>
      <c r="Q8" s="45"/>
    </row>
    <row r="9" spans="1:17">
      <c r="A9" s="54"/>
      <c r="B9" s="55"/>
      <c r="C9" s="184"/>
      <c r="D9" s="45" t="s">
        <v>2</v>
      </c>
      <c r="E9" s="224">
        <v>26</v>
      </c>
      <c r="F9" s="201">
        <f>C23/E18*E9</f>
        <v>4367.6320000000005</v>
      </c>
      <c r="G9" s="7"/>
      <c r="H9" s="253" t="s">
        <v>150</v>
      </c>
      <c r="I9" s="18"/>
      <c r="J9" s="18"/>
      <c r="K9" s="18"/>
      <c r="L9" s="18"/>
      <c r="M9" s="73">
        <v>3480</v>
      </c>
      <c r="N9" s="18"/>
      <c r="O9" s="45" t="s">
        <v>2</v>
      </c>
      <c r="P9" s="224">
        <v>26</v>
      </c>
      <c r="Q9" s="201">
        <f>M23/P18*P9</f>
        <v>5823.1559999999999</v>
      </c>
    </row>
    <row r="10" spans="1:17">
      <c r="A10" s="44" t="s">
        <v>85</v>
      </c>
      <c r="B10" s="55"/>
      <c r="C10" s="187">
        <v>160.19999999999999</v>
      </c>
      <c r="D10" s="45"/>
      <c r="E10" s="224"/>
      <c r="F10" s="201"/>
      <c r="G10" s="7"/>
      <c r="H10" s="18"/>
      <c r="I10" s="18"/>
      <c r="J10" s="18"/>
      <c r="K10" s="18"/>
      <c r="L10" s="18"/>
      <c r="M10" s="18"/>
      <c r="N10" s="18"/>
      <c r="O10" s="45"/>
      <c r="P10" s="224"/>
      <c r="Q10" s="201"/>
    </row>
    <row r="11" spans="1:17">
      <c r="A11" s="42" t="s">
        <v>17</v>
      </c>
      <c r="B11" s="26"/>
      <c r="C11" s="187"/>
      <c r="D11" s="45"/>
      <c r="E11" s="224"/>
      <c r="F11" s="201"/>
      <c r="G11" s="7"/>
      <c r="H11" s="42" t="s">
        <v>17</v>
      </c>
      <c r="I11" s="18"/>
      <c r="J11" s="18"/>
      <c r="K11" s="18"/>
      <c r="L11" s="18"/>
      <c r="M11" s="298">
        <f>3225-1075</f>
        <v>2150</v>
      </c>
      <c r="N11" s="73"/>
      <c r="O11" s="45"/>
      <c r="P11" s="224"/>
      <c r="Q11" s="201"/>
    </row>
    <row r="12" spans="1:17">
      <c r="A12" s="52" t="s">
        <v>48</v>
      </c>
      <c r="B12" s="24"/>
      <c r="C12" s="189">
        <v>5691.76</v>
      </c>
      <c r="D12" s="45" t="s">
        <v>29</v>
      </c>
      <c r="E12" s="224">
        <v>1</v>
      </c>
      <c r="F12" s="201">
        <f>C23/E18*E12</f>
        <v>167.98584615384618</v>
      </c>
      <c r="G12" s="27"/>
      <c r="H12" s="52" t="s">
        <v>48</v>
      </c>
      <c r="I12" s="35"/>
      <c r="J12" s="35"/>
      <c r="K12" s="35"/>
      <c r="L12" s="35"/>
      <c r="M12" s="79">
        <v>7114.74</v>
      </c>
      <c r="N12" s="27"/>
      <c r="O12" s="45" t="s">
        <v>29</v>
      </c>
      <c r="P12" s="224">
        <v>1</v>
      </c>
      <c r="Q12" s="201">
        <f>M23/P18*P12</f>
        <v>223.96753846153845</v>
      </c>
    </row>
    <row r="13" spans="1:17">
      <c r="A13" s="56" t="s">
        <v>116</v>
      </c>
      <c r="B13" s="57"/>
      <c r="C13" s="310">
        <v>5259.26</v>
      </c>
      <c r="D13" s="45"/>
      <c r="E13" s="224"/>
      <c r="F13" s="201"/>
      <c r="G13" s="27"/>
      <c r="H13" s="56" t="s">
        <v>134</v>
      </c>
      <c r="I13" s="62"/>
      <c r="J13" s="62"/>
      <c r="K13" s="62"/>
      <c r="L13" s="62"/>
      <c r="M13" s="299"/>
      <c r="N13" s="27"/>
      <c r="O13" s="45"/>
      <c r="P13" s="224"/>
      <c r="Q13" s="201"/>
    </row>
    <row r="14" spans="1:17">
      <c r="A14" s="56" t="s">
        <v>42</v>
      </c>
      <c r="B14" s="24"/>
      <c r="C14" s="192">
        <v>1692.18</v>
      </c>
      <c r="D14" s="45" t="s">
        <v>3</v>
      </c>
      <c r="E14" s="224">
        <v>2</v>
      </c>
      <c r="F14" s="201">
        <f>C23/E18*E14</f>
        <v>335.97169230769236</v>
      </c>
      <c r="G14" s="27"/>
      <c r="H14" s="56" t="s">
        <v>42</v>
      </c>
      <c r="I14" s="18"/>
      <c r="J14" s="18"/>
      <c r="K14" s="18"/>
      <c r="L14" s="18"/>
      <c r="M14" s="195">
        <v>3023.56</v>
      </c>
      <c r="N14" s="27"/>
      <c r="O14" s="45" t="s">
        <v>3</v>
      </c>
      <c r="P14" s="224">
        <v>2</v>
      </c>
      <c r="Q14" s="201">
        <f>M23/P18*P14</f>
        <v>447.93507692307691</v>
      </c>
    </row>
    <row r="15" spans="1:17" ht="15.75">
      <c r="A15" s="58" t="s">
        <v>36</v>
      </c>
      <c r="B15" s="59">
        <f>SUM(B4:B14)</f>
        <v>0</v>
      </c>
      <c r="C15" s="193">
        <f>C4+C5+C6+C10+C11+C12+C13+C14+C8</f>
        <v>17681.580000000002</v>
      </c>
      <c r="D15" s="45"/>
      <c r="E15" s="224"/>
      <c r="F15" s="201"/>
      <c r="G15" s="7"/>
      <c r="H15" s="63" t="s">
        <v>37</v>
      </c>
      <c r="I15" s="63"/>
      <c r="J15" s="245"/>
      <c r="K15" s="63"/>
      <c r="L15" s="63"/>
      <c r="M15" s="59">
        <f>M5+M6+M7+M11+M12+M13+M14+M8+M9</f>
        <v>23342.89</v>
      </c>
      <c r="N15" s="18"/>
      <c r="O15" s="45"/>
      <c r="P15" s="224"/>
      <c r="Q15" s="201"/>
    </row>
    <row r="16" spans="1:17">
      <c r="A16" s="54"/>
      <c r="B16" s="26"/>
      <c r="C16" s="184"/>
      <c r="D16" s="45" t="s">
        <v>5</v>
      </c>
      <c r="E16" s="224">
        <v>1</v>
      </c>
      <c r="F16" s="201">
        <f>C23/E18*E16</f>
        <v>167.98584615384618</v>
      </c>
      <c r="H16" s="18"/>
      <c r="I16" s="18"/>
      <c r="J16" s="18"/>
      <c r="K16" s="18"/>
      <c r="L16" s="18"/>
      <c r="M16" s="26"/>
      <c r="N16" s="18"/>
      <c r="O16" s="45" t="s">
        <v>5</v>
      </c>
      <c r="P16" s="224">
        <v>1</v>
      </c>
      <c r="Q16" s="201">
        <f>M23/P18*P16</f>
        <v>223.96753846153845</v>
      </c>
    </row>
    <row r="17" spans="1:17">
      <c r="A17" s="60" t="s">
        <v>27</v>
      </c>
      <c r="B17" s="26"/>
      <c r="C17" s="184"/>
      <c r="D17" s="18"/>
      <c r="E17" s="62"/>
      <c r="F17" s="18"/>
      <c r="H17" s="60" t="s">
        <v>27</v>
      </c>
      <c r="I17" s="18"/>
      <c r="J17" s="18"/>
      <c r="K17" s="18"/>
      <c r="L17" s="18"/>
      <c r="M17" s="26"/>
      <c r="N17" s="18"/>
      <c r="O17" s="18"/>
      <c r="P17" s="18"/>
      <c r="Q17" s="18"/>
    </row>
    <row r="18" spans="1:17">
      <c r="A18" s="50" t="s">
        <v>20</v>
      </c>
      <c r="B18" s="50"/>
      <c r="C18" s="187">
        <v>240</v>
      </c>
      <c r="D18" s="18"/>
      <c r="E18" s="300">
        <f>SUM(E7:E17)</f>
        <v>65</v>
      </c>
      <c r="F18" s="300">
        <f>SUM(F7:F17)</f>
        <v>10919.080000000002</v>
      </c>
      <c r="H18" s="50" t="s">
        <v>20</v>
      </c>
      <c r="I18" s="50"/>
      <c r="J18" s="50"/>
      <c r="K18" s="50"/>
      <c r="L18" s="50"/>
      <c r="M18" s="51">
        <v>540</v>
      </c>
      <c r="N18" s="18"/>
      <c r="O18" s="18"/>
      <c r="P18" s="300">
        <f>SUM(P7:P17)</f>
        <v>65</v>
      </c>
      <c r="Q18" s="300">
        <f>SUM(Q7:Q17)</f>
        <v>14557.89</v>
      </c>
    </row>
    <row r="19" spans="1:17">
      <c r="A19" s="50" t="s">
        <v>22</v>
      </c>
      <c r="B19" s="50"/>
      <c r="C19" s="187">
        <v>3115</v>
      </c>
      <c r="D19" s="18"/>
      <c r="E19" s="18"/>
      <c r="F19" s="18"/>
      <c r="H19" s="50" t="s">
        <v>22</v>
      </c>
      <c r="I19" s="50"/>
      <c r="J19" s="50"/>
      <c r="K19" s="50"/>
      <c r="L19" s="50"/>
      <c r="M19" s="73">
        <v>4785</v>
      </c>
      <c r="N19" s="73"/>
      <c r="O19" s="18"/>
      <c r="P19" s="18"/>
      <c r="Q19" s="18"/>
    </row>
    <row r="20" spans="1:17">
      <c r="A20" s="50" t="s">
        <v>21</v>
      </c>
      <c r="B20" s="50"/>
      <c r="C20" s="187">
        <v>3407.5</v>
      </c>
      <c r="D20" s="184"/>
      <c r="E20" s="18"/>
      <c r="F20" s="18"/>
      <c r="H20" s="50" t="s">
        <v>21</v>
      </c>
      <c r="I20" s="50"/>
      <c r="J20" s="50"/>
      <c r="K20" s="50"/>
      <c r="L20" s="50"/>
      <c r="M20" s="73">
        <v>3460</v>
      </c>
      <c r="N20" s="73"/>
      <c r="O20" s="18"/>
      <c r="P20" s="18"/>
      <c r="Q20" s="18"/>
    </row>
    <row r="21" spans="1:17">
      <c r="A21" s="60" t="s">
        <v>23</v>
      </c>
      <c r="B21" s="61"/>
      <c r="C21" s="188">
        <f>SUM(C18:C20)</f>
        <v>6762.5</v>
      </c>
      <c r="D21" s="18"/>
      <c r="E21" s="18"/>
      <c r="F21" s="18"/>
      <c r="H21" s="50"/>
      <c r="I21" s="50"/>
      <c r="J21" s="50"/>
      <c r="K21" s="60" t="s">
        <v>23</v>
      </c>
      <c r="L21" s="50"/>
      <c r="M21" s="76">
        <f>SUM(M18:M20)</f>
        <v>8785</v>
      </c>
      <c r="N21" s="76"/>
      <c r="O21" s="18"/>
      <c r="P21" s="18"/>
      <c r="Q21" s="18"/>
    </row>
    <row r="22" spans="1:17">
      <c r="A22" s="18"/>
      <c r="B22" s="18"/>
      <c r="C22" s="184"/>
      <c r="D22" s="18"/>
      <c r="E22" s="18"/>
      <c r="F22" s="18"/>
      <c r="H22" s="18"/>
      <c r="I22" s="18"/>
      <c r="J22" s="18"/>
      <c r="K22" s="18"/>
      <c r="L22" s="18"/>
      <c r="M22" s="18"/>
      <c r="N22" s="18"/>
      <c r="O22" s="18"/>
      <c r="P22" s="18"/>
      <c r="Q22" s="18"/>
    </row>
    <row r="23" spans="1:17">
      <c r="A23" s="43" t="s">
        <v>38</v>
      </c>
      <c r="B23" s="22"/>
      <c r="C23" s="194">
        <f>C15-C21</f>
        <v>10919.080000000002</v>
      </c>
      <c r="D23" s="52"/>
      <c r="E23" s="52"/>
      <c r="F23" s="52"/>
      <c r="G23" s="8"/>
      <c r="H23" s="43" t="s">
        <v>38</v>
      </c>
      <c r="I23" s="43"/>
      <c r="J23" s="43"/>
      <c r="K23" s="43"/>
      <c r="L23" s="43"/>
      <c r="M23" s="67">
        <f>M15-M21</f>
        <v>14557.89</v>
      </c>
      <c r="N23" s="18"/>
      <c r="O23" s="18"/>
      <c r="P23" s="18"/>
      <c r="Q23" s="18"/>
    </row>
    <row r="26" spans="1:17">
      <c r="A26" s="65" t="s">
        <v>114</v>
      </c>
      <c r="B26" s="64"/>
      <c r="C26" s="189">
        <v>12806.5</v>
      </c>
      <c r="D26" s="15"/>
      <c r="E26" s="15"/>
      <c r="F26" s="15"/>
      <c r="G26" s="15"/>
      <c r="H26" s="15"/>
      <c r="I26" s="15"/>
      <c r="J26" s="343"/>
      <c r="K26" s="344"/>
      <c r="L26" s="345"/>
      <c r="M26" s="64"/>
      <c r="N26" s="79"/>
    </row>
    <row r="27" spans="1:17" ht="7.5" customHeight="1">
      <c r="A27" s="66"/>
      <c r="B27" s="64"/>
      <c r="C27" s="190"/>
      <c r="D27" s="15"/>
      <c r="E27" s="15"/>
      <c r="F27" s="15"/>
      <c r="G27" s="15"/>
      <c r="H27" s="15"/>
      <c r="I27" s="15"/>
      <c r="J27" s="15"/>
      <c r="K27" s="15"/>
      <c r="L27" s="15"/>
      <c r="M27" s="14"/>
      <c r="N27" s="15"/>
    </row>
    <row r="28" spans="1:17">
      <c r="A28" s="15" t="s">
        <v>92</v>
      </c>
      <c r="B28" s="64"/>
      <c r="C28" s="189">
        <v>1692.18</v>
      </c>
      <c r="D28" s="15"/>
      <c r="E28" s="15"/>
      <c r="F28" s="15"/>
      <c r="G28" s="15"/>
      <c r="H28" s="161" t="s">
        <v>92</v>
      </c>
      <c r="I28" s="64"/>
      <c r="J28" s="189">
        <v>3023.56</v>
      </c>
      <c r="K28" s="15"/>
      <c r="L28" s="15"/>
      <c r="M28" s="14"/>
      <c r="N28" s="15"/>
    </row>
    <row r="29" spans="1:17">
      <c r="A29" s="66"/>
      <c r="B29" s="64"/>
      <c r="C29" s="190"/>
      <c r="D29" s="15"/>
      <c r="E29" s="15"/>
      <c r="F29" s="15"/>
      <c r="G29" s="15"/>
      <c r="H29" s="15"/>
      <c r="I29" s="15"/>
      <c r="J29" s="15"/>
      <c r="K29" s="15"/>
      <c r="L29" s="15"/>
      <c r="M29" s="14"/>
      <c r="N29" s="15"/>
    </row>
    <row r="30" spans="1:17" ht="14.45" customHeight="1">
      <c r="A30" s="343" t="s">
        <v>141</v>
      </c>
      <c r="B30" s="344"/>
      <c r="C30" s="345"/>
      <c r="D30" s="79">
        <v>5259.26</v>
      </c>
      <c r="E30" s="79"/>
      <c r="F30" s="15"/>
      <c r="G30" s="15"/>
      <c r="H30" s="15"/>
      <c r="I30" s="15"/>
      <c r="J30" s="15"/>
      <c r="K30" s="15"/>
      <c r="L30" s="15"/>
      <c r="M30" s="14"/>
      <c r="N30" s="15"/>
    </row>
    <row r="31" spans="1:17">
      <c r="A31" s="77"/>
      <c r="B31" s="78"/>
      <c r="C31" s="190"/>
      <c r="D31" s="244"/>
      <c r="E31" s="15"/>
      <c r="F31" s="15"/>
      <c r="G31" s="15"/>
      <c r="H31" s="15"/>
      <c r="I31" s="15"/>
      <c r="J31" s="15"/>
      <c r="K31" s="15"/>
      <c r="L31" s="15"/>
      <c r="M31" s="14"/>
      <c r="N31" s="15"/>
    </row>
    <row r="32" spans="1:17">
      <c r="A32" s="77"/>
      <c r="B32" s="78"/>
      <c r="C32" s="190"/>
      <c r="D32" s="244"/>
      <c r="E32" s="15"/>
      <c r="F32" s="15"/>
      <c r="G32" s="15"/>
      <c r="H32" s="15"/>
      <c r="I32" s="15"/>
      <c r="J32" s="15"/>
      <c r="K32" s="15"/>
      <c r="L32" s="15"/>
      <c r="M32" s="14"/>
      <c r="N32" s="15"/>
    </row>
    <row r="33" spans="1:14">
      <c r="A33" s="325" t="s">
        <v>167</v>
      </c>
      <c r="B33" s="78"/>
      <c r="C33" s="190"/>
      <c r="D33" s="244"/>
      <c r="E33" s="15"/>
      <c r="F33" s="15"/>
      <c r="G33" s="15"/>
      <c r="H33" s="15"/>
      <c r="I33" s="15"/>
      <c r="J33" s="15"/>
      <c r="K33" s="15"/>
      <c r="L33" s="15"/>
      <c r="M33" s="14"/>
      <c r="N33" s="15"/>
    </row>
    <row r="34" spans="1:14">
      <c r="A34" s="327" t="s">
        <v>151</v>
      </c>
      <c r="B34" s="328"/>
      <c r="C34" s="329">
        <v>1075</v>
      </c>
      <c r="D34" s="45" t="s">
        <v>3</v>
      </c>
      <c r="E34" s="224">
        <v>7</v>
      </c>
      <c r="F34" s="201">
        <f>C36/E38*E34</f>
        <v>2870.291666666667</v>
      </c>
      <c r="G34" s="15"/>
      <c r="H34" s="15"/>
      <c r="I34" s="15"/>
      <c r="J34" s="15"/>
      <c r="K34" s="15"/>
      <c r="L34" s="15"/>
      <c r="M34" s="14"/>
      <c r="N34" s="15"/>
    </row>
    <row r="35" spans="1:14">
      <c r="A35" s="327" t="s">
        <v>70</v>
      </c>
      <c r="B35" s="328"/>
      <c r="C35" s="329">
        <f>3052.4+793.1</f>
        <v>3845.5</v>
      </c>
      <c r="D35" s="45"/>
      <c r="E35" s="224"/>
      <c r="F35" s="201"/>
      <c r="G35" s="15"/>
      <c r="H35" s="15"/>
      <c r="I35" s="15"/>
      <c r="J35" s="15"/>
      <c r="K35" s="15"/>
      <c r="L35" s="15"/>
      <c r="M35" s="14"/>
      <c r="N35" s="15"/>
    </row>
    <row r="36" spans="1:14">
      <c r="A36" s="330" t="s">
        <v>152</v>
      </c>
      <c r="B36" s="330"/>
      <c r="C36" s="331">
        <f>SUM(C34:C35)</f>
        <v>4920.5</v>
      </c>
      <c r="D36" s="45" t="s">
        <v>5</v>
      </c>
      <c r="E36" s="224">
        <v>5</v>
      </c>
      <c r="F36" s="201">
        <f>C36/E38*E36</f>
        <v>2050.2083333333335</v>
      </c>
      <c r="I36" s="81"/>
    </row>
    <row r="37" spans="1:14">
      <c r="A37" s="246"/>
      <c r="B37" s="246"/>
      <c r="C37" s="322"/>
    </row>
    <row r="38" spans="1:14">
      <c r="E38">
        <v>12</v>
      </c>
    </row>
    <row r="39" spans="1:14" ht="15.75">
      <c r="A39" s="11" t="s">
        <v>142</v>
      </c>
      <c r="B39" s="11"/>
      <c r="C39" s="186"/>
      <c r="D39" s="1"/>
      <c r="E39" s="1"/>
      <c r="F39" s="1"/>
      <c r="G39" s="1"/>
      <c r="H39" s="1"/>
      <c r="I39" s="11"/>
      <c r="J39" s="1"/>
      <c r="K39" s="1"/>
      <c r="L39" s="1"/>
      <c r="M39" s="11"/>
    </row>
    <row r="40" spans="1:14">
      <c r="A40" s="44"/>
      <c r="B40" s="44"/>
      <c r="C40" s="186"/>
      <c r="D40" s="1"/>
      <c r="E40" s="1"/>
      <c r="F40" s="1"/>
      <c r="G40" s="1"/>
      <c r="H40" s="1"/>
      <c r="I40" s="1"/>
      <c r="J40" s="235"/>
      <c r="K40" s="235"/>
      <c r="L40" s="235"/>
      <c r="M40" s="332"/>
    </row>
    <row r="41" spans="1:14">
      <c r="A41" s="45" t="s">
        <v>0</v>
      </c>
      <c r="B41" s="53">
        <f>F7+Q7-C14-C12-M12-M14</f>
        <v>-3803.8715384615375</v>
      </c>
      <c r="C41" s="191" t="s">
        <v>43</v>
      </c>
      <c r="D41" s="9"/>
      <c r="E41" s="9"/>
      <c r="F41" s="1"/>
      <c r="G41" s="1"/>
      <c r="H41" s="1"/>
      <c r="I41" s="1"/>
      <c r="J41" s="332"/>
      <c r="K41" s="235"/>
      <c r="L41" s="235"/>
      <c r="M41" s="333"/>
      <c r="N41" s="9"/>
    </row>
    <row r="42" spans="1:14">
      <c r="A42" s="45"/>
      <c r="B42" s="45"/>
      <c r="C42" s="191"/>
      <c r="D42" s="9"/>
      <c r="E42" s="9"/>
      <c r="F42" s="1"/>
      <c r="G42" s="1"/>
      <c r="H42" s="1"/>
      <c r="I42" s="1"/>
      <c r="J42" s="332"/>
      <c r="K42" s="235"/>
      <c r="L42" s="235"/>
      <c r="M42" s="332"/>
    </row>
    <row r="43" spans="1:14">
      <c r="A43" s="45" t="s">
        <v>2</v>
      </c>
      <c r="B43" s="53">
        <f>F9+Q9-C13-M13</f>
        <v>4931.5280000000002</v>
      </c>
      <c r="C43" s="191" t="s">
        <v>156</v>
      </c>
      <c r="D43" s="9"/>
      <c r="E43" s="9"/>
      <c r="F43" s="1"/>
      <c r="G43" s="1"/>
      <c r="H43" s="1"/>
      <c r="I43" s="1"/>
      <c r="J43" s="332"/>
      <c r="K43" s="235"/>
      <c r="L43" s="235"/>
      <c r="M43" s="333"/>
      <c r="N43" s="9"/>
    </row>
    <row r="44" spans="1:14">
      <c r="A44" s="45"/>
      <c r="B44" s="45"/>
      <c r="C44" s="191"/>
      <c r="D44" s="9"/>
      <c r="E44" s="9"/>
      <c r="F44" s="1"/>
      <c r="G44" s="1"/>
      <c r="H44" s="1"/>
      <c r="I44" s="1"/>
      <c r="J44" s="332"/>
      <c r="K44" s="235"/>
      <c r="L44" s="235"/>
      <c r="M44" s="332"/>
    </row>
    <row r="45" spans="1:14">
      <c r="A45" s="45" t="s">
        <v>3</v>
      </c>
      <c r="B45" s="53">
        <f>F14+Q14+F34</f>
        <v>3654.198435897436</v>
      </c>
      <c r="C45" s="191"/>
      <c r="D45" s="9"/>
      <c r="E45" s="9"/>
      <c r="F45" s="1"/>
      <c r="G45" s="1"/>
      <c r="H45" s="1"/>
      <c r="I45" s="1"/>
      <c r="J45" s="332"/>
      <c r="K45" s="235"/>
      <c r="L45" s="235"/>
      <c r="M45" s="334"/>
    </row>
    <row r="46" spans="1:14">
      <c r="A46" s="45"/>
      <c r="B46" s="45"/>
      <c r="C46" s="191"/>
      <c r="D46" s="9"/>
      <c r="E46" s="9"/>
      <c r="F46" s="1"/>
      <c r="G46" s="1"/>
      <c r="H46" s="1"/>
      <c r="I46" s="1"/>
      <c r="J46" s="332"/>
      <c r="K46" s="235"/>
      <c r="L46" s="235"/>
      <c r="M46" s="332"/>
    </row>
    <row r="47" spans="1:14">
      <c r="A47" s="45" t="s">
        <v>5</v>
      </c>
      <c r="B47" s="53">
        <f>+F16+Q16+F36</f>
        <v>2442.161717948718</v>
      </c>
      <c r="C47" s="191"/>
      <c r="D47" s="9"/>
      <c r="E47" s="9"/>
      <c r="F47" s="1"/>
      <c r="G47" s="1"/>
      <c r="H47" s="1"/>
      <c r="I47" s="1"/>
      <c r="J47" s="332"/>
      <c r="K47" s="235"/>
      <c r="L47" s="235"/>
      <c r="M47" s="334"/>
    </row>
    <row r="48" spans="1:14">
      <c r="A48" s="44"/>
      <c r="B48" s="45"/>
      <c r="C48" s="191"/>
      <c r="D48" s="9"/>
      <c r="E48" s="9"/>
      <c r="F48" s="1"/>
      <c r="G48" s="1"/>
      <c r="H48" s="1"/>
      <c r="I48" s="1"/>
      <c r="J48" s="235"/>
      <c r="K48" s="235"/>
      <c r="L48" s="235"/>
      <c r="M48" s="235"/>
    </row>
    <row r="49" spans="1:13">
      <c r="A49" s="68" t="s">
        <v>29</v>
      </c>
      <c r="B49" s="214">
        <f>F12+Q12</f>
        <v>391.95338461538461</v>
      </c>
      <c r="J49" s="335"/>
      <c r="K49" s="336"/>
      <c r="L49" s="336"/>
      <c r="M49" s="337"/>
    </row>
    <row r="50" spans="1:13">
      <c r="A50" s="18"/>
      <c r="B50" s="18"/>
      <c r="J50" s="336"/>
      <c r="K50" s="336"/>
      <c r="L50" s="336"/>
      <c r="M50" s="336"/>
    </row>
    <row r="51" spans="1:13">
      <c r="J51" s="336"/>
      <c r="K51" s="336"/>
      <c r="L51" s="336"/>
      <c r="M51" s="336"/>
    </row>
    <row r="52" spans="1:13">
      <c r="B52" s="81">
        <f>SUM(B41:B49)</f>
        <v>7615.9700000000012</v>
      </c>
      <c r="J52" s="336"/>
      <c r="K52" s="336"/>
      <c r="L52" s="336"/>
      <c r="M52" s="336"/>
    </row>
  </sheetData>
  <mergeCells count="2">
    <mergeCell ref="J26:L26"/>
    <mergeCell ref="A30:C30"/>
  </mergeCells>
  <phoneticPr fontId="0" type="noConversion"/>
  <pageMargins left="0.7" right="0.7" top="0.75" bottom="0.75" header="0.3" footer="0.3"/>
  <pageSetup paperSize="9" scale="5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7"/>
  <sheetViews>
    <sheetView topLeftCell="A34" workbookViewId="0">
      <selection activeCell="B24" sqref="B24"/>
    </sheetView>
  </sheetViews>
  <sheetFormatPr defaultRowHeight="12.75"/>
  <cols>
    <col min="1" max="1" width="45.5703125" style="32" customWidth="1"/>
    <col min="2" max="2" width="13.140625" style="32" customWidth="1"/>
    <col min="3" max="3" width="15.7109375" style="84" customWidth="1"/>
    <col min="4" max="4" width="14.7109375" style="32" customWidth="1"/>
    <col min="5" max="5" width="5.85546875" style="32" customWidth="1"/>
    <col min="6" max="6" width="12" style="32" customWidth="1"/>
    <col min="7" max="7" width="12" style="32" bestFit="1" customWidth="1"/>
    <col min="8" max="8" width="29" style="32" customWidth="1"/>
    <col min="9" max="9" width="14.140625" style="32" customWidth="1"/>
    <col min="10" max="10" width="12.5703125" style="32" customWidth="1"/>
    <col min="11" max="11" width="4.28515625" style="32" customWidth="1"/>
    <col min="12" max="12" width="14.28515625" style="32" customWidth="1"/>
    <col min="13" max="16384" width="9.140625" style="32"/>
  </cols>
  <sheetData>
    <row r="1" spans="1:12">
      <c r="C1" s="82">
        <v>2018</v>
      </c>
      <c r="H1" s="83">
        <v>2019</v>
      </c>
    </row>
    <row r="2" spans="1:12">
      <c r="A2" s="83" t="s">
        <v>14</v>
      </c>
    </row>
    <row r="3" spans="1:12">
      <c r="A3" s="83"/>
    </row>
    <row r="4" spans="1:12">
      <c r="A4" s="97"/>
      <c r="B4" s="87"/>
      <c r="C4" s="123"/>
      <c r="H4" s="97"/>
      <c r="I4" s="123"/>
    </row>
    <row r="5" spans="1:12">
      <c r="A5" s="242" t="s">
        <v>1</v>
      </c>
      <c r="H5" s="83" t="s">
        <v>1</v>
      </c>
    </row>
    <row r="6" spans="1:12">
      <c r="A6" s="86" t="s">
        <v>49</v>
      </c>
      <c r="B6" s="87"/>
      <c r="C6" s="88"/>
      <c r="D6" s="89"/>
      <c r="E6" s="89"/>
      <c r="F6" s="89"/>
      <c r="H6" s="83" t="s">
        <v>78</v>
      </c>
      <c r="I6" s="90"/>
      <c r="J6" s="89"/>
      <c r="K6" s="89"/>
      <c r="L6" s="89"/>
    </row>
    <row r="7" spans="1:12">
      <c r="A7" s="207" t="s">
        <v>143</v>
      </c>
      <c r="B7" s="85"/>
      <c r="C7" s="204">
        <v>7243.44</v>
      </c>
      <c r="D7" s="92" t="s">
        <v>0</v>
      </c>
      <c r="E7" s="92">
        <v>28</v>
      </c>
      <c r="F7" s="93">
        <f>C13/E15*E7</f>
        <v>4948.9383999999991</v>
      </c>
      <c r="H7" s="83" t="s">
        <v>79</v>
      </c>
      <c r="I7" s="90">
        <v>494.94</v>
      </c>
      <c r="J7" s="92" t="s">
        <v>0</v>
      </c>
      <c r="K7" s="92">
        <v>28</v>
      </c>
      <c r="L7" s="93">
        <f>I13/K15*K7</f>
        <v>529.16640000000007</v>
      </c>
    </row>
    <row r="8" spans="1:12">
      <c r="A8" s="94"/>
      <c r="B8" s="95"/>
      <c r="C8" s="96"/>
      <c r="D8" s="92"/>
      <c r="E8" s="92"/>
      <c r="F8" s="93"/>
      <c r="H8" s="83" t="s">
        <v>112</v>
      </c>
      <c r="I8" s="230">
        <v>450</v>
      </c>
      <c r="J8" s="92"/>
      <c r="K8" s="92"/>
      <c r="L8" s="93"/>
    </row>
    <row r="9" spans="1:12">
      <c r="A9" s="97" t="s">
        <v>65</v>
      </c>
      <c r="B9" s="87"/>
      <c r="C9" s="98">
        <v>740.54</v>
      </c>
      <c r="D9" s="92" t="s">
        <v>2</v>
      </c>
      <c r="E9" s="92">
        <v>16</v>
      </c>
      <c r="F9" s="93">
        <f>C13/E15*E9</f>
        <v>2827.9647999999997</v>
      </c>
      <c r="J9" s="92" t="s">
        <v>2</v>
      </c>
      <c r="K9" s="92">
        <v>16</v>
      </c>
      <c r="L9" s="93">
        <f>I13/K15*K9</f>
        <v>302.38080000000002</v>
      </c>
    </row>
    <row r="10" spans="1:12">
      <c r="A10" s="97" t="s">
        <v>66</v>
      </c>
      <c r="B10" s="87"/>
      <c r="C10" s="98">
        <v>249.63</v>
      </c>
      <c r="D10" s="92"/>
      <c r="E10" s="92"/>
      <c r="F10" s="93"/>
      <c r="J10" s="92"/>
      <c r="K10" s="92"/>
      <c r="L10" s="93"/>
    </row>
    <row r="11" spans="1:12">
      <c r="A11" s="97" t="s">
        <v>90</v>
      </c>
      <c r="B11" s="87"/>
      <c r="C11" s="99">
        <v>603.78</v>
      </c>
      <c r="D11" s="92" t="s">
        <v>3</v>
      </c>
      <c r="E11" s="92">
        <v>4</v>
      </c>
      <c r="F11" s="93">
        <f>C13/E15*E11</f>
        <v>706.99119999999994</v>
      </c>
      <c r="J11" s="92" t="s">
        <v>3</v>
      </c>
      <c r="K11" s="92">
        <v>4</v>
      </c>
      <c r="L11" s="93">
        <f>I13/K15*K11</f>
        <v>75.595200000000006</v>
      </c>
    </row>
    <row r="12" spans="1:12">
      <c r="A12" s="97"/>
      <c r="B12" s="87"/>
      <c r="C12" s="99"/>
      <c r="D12" s="92"/>
      <c r="E12" s="92"/>
      <c r="F12" s="93"/>
      <c r="J12" s="92"/>
      <c r="K12" s="92"/>
      <c r="L12" s="93"/>
    </row>
    <row r="13" spans="1:12">
      <c r="A13" s="100" t="s">
        <v>15</v>
      </c>
      <c r="B13" s="101"/>
      <c r="C13" s="102">
        <f>C4+C7+C9+C10+C11+C12</f>
        <v>8837.39</v>
      </c>
      <c r="D13" s="92" t="s">
        <v>5</v>
      </c>
      <c r="E13" s="104">
        <v>2</v>
      </c>
      <c r="F13" s="105">
        <f>C13/E15*E13</f>
        <v>353.49559999999997</v>
      </c>
      <c r="H13" s="32" t="s">
        <v>15</v>
      </c>
      <c r="I13" s="103">
        <f>SUM(I6:I11)</f>
        <v>944.94</v>
      </c>
      <c r="J13" s="92" t="s">
        <v>5</v>
      </c>
      <c r="K13" s="104">
        <v>2</v>
      </c>
      <c r="L13" s="105">
        <f>I13/K15*K13</f>
        <v>37.797600000000003</v>
      </c>
    </row>
    <row r="14" spans="1:12">
      <c r="A14" s="97"/>
      <c r="B14" s="87"/>
      <c r="C14" s="88"/>
      <c r="D14" s="92"/>
      <c r="E14" s="104"/>
      <c r="F14" s="105"/>
      <c r="J14" s="92"/>
      <c r="K14" s="104"/>
      <c r="L14" s="105"/>
    </row>
    <row r="15" spans="1:12">
      <c r="A15" s="242" t="s">
        <v>8</v>
      </c>
      <c r="B15" s="110"/>
      <c r="E15" s="301">
        <f>SUM(E7:E14)</f>
        <v>50</v>
      </c>
      <c r="F15" s="304">
        <f>SUM(F7:F14)</f>
        <v>8837.39</v>
      </c>
      <c r="G15" s="32" t="s">
        <v>129</v>
      </c>
      <c r="H15" s="83" t="s">
        <v>8</v>
      </c>
      <c r="K15" s="301">
        <f>SUM(K7:K14)</f>
        <v>50</v>
      </c>
      <c r="L15" s="304">
        <f>SUM(L7:L14)</f>
        <v>944.94</v>
      </c>
    </row>
    <row r="16" spans="1:12">
      <c r="A16" s="111" t="s">
        <v>52</v>
      </c>
      <c r="B16" s="110"/>
    </row>
    <row r="17" spans="1:12">
      <c r="A17" s="97"/>
      <c r="B17" s="87"/>
      <c r="C17" s="112"/>
    </row>
    <row r="18" spans="1:12">
      <c r="A18" s="338" t="s">
        <v>80</v>
      </c>
      <c r="B18" s="107"/>
      <c r="C18" s="112"/>
    </row>
    <row r="19" spans="1:12">
      <c r="A19" s="83" t="s">
        <v>76</v>
      </c>
      <c r="B19" s="90"/>
      <c r="C19" s="90">
        <v>123.8</v>
      </c>
    </row>
    <row r="20" spans="1:12">
      <c r="A20" s="106"/>
      <c r="B20" s="107"/>
      <c r="C20" s="112"/>
    </row>
    <row r="21" spans="1:12">
      <c r="A21" s="242" t="s">
        <v>53</v>
      </c>
      <c r="B21" s="110"/>
      <c r="H21" s="83" t="s">
        <v>53</v>
      </c>
      <c r="J21" s="92" t="s">
        <v>0</v>
      </c>
      <c r="K21" s="92">
        <v>11</v>
      </c>
      <c r="L21" s="93">
        <f>I29/21*K21</f>
        <v>148.25904761904758</v>
      </c>
    </row>
    <row r="22" spans="1:12">
      <c r="A22" s="86" t="s">
        <v>51</v>
      </c>
      <c r="B22" s="87"/>
      <c r="C22" s="88"/>
      <c r="D22" s="89"/>
      <c r="E22" s="89"/>
      <c r="F22" s="89"/>
      <c r="J22" s="92"/>
      <c r="K22" s="92"/>
      <c r="L22" s="93"/>
    </row>
    <row r="23" spans="1:12">
      <c r="A23" s="97"/>
      <c r="B23" s="87"/>
      <c r="C23" s="113"/>
      <c r="D23" s="92" t="s">
        <v>0</v>
      </c>
      <c r="E23" s="92">
        <v>11</v>
      </c>
      <c r="F23" s="93">
        <f>C31/21*E23</f>
        <v>6352.5733333333337</v>
      </c>
      <c r="H23" s="83"/>
      <c r="I23" s="263"/>
      <c r="J23" s="92"/>
      <c r="K23" s="114"/>
      <c r="L23" s="115"/>
    </row>
    <row r="24" spans="1:12">
      <c r="A24" s="97" t="s">
        <v>72</v>
      </c>
      <c r="B24" s="87"/>
      <c r="C24" s="113"/>
      <c r="D24" s="92"/>
      <c r="E24" s="92"/>
      <c r="F24" s="93"/>
      <c r="H24" s="83" t="s">
        <v>72</v>
      </c>
      <c r="I24" s="263">
        <v>179.95</v>
      </c>
      <c r="J24" s="92"/>
      <c r="K24" s="114"/>
      <c r="L24" s="115"/>
    </row>
    <row r="25" spans="1:12">
      <c r="A25" s="97" t="s">
        <v>88</v>
      </c>
      <c r="B25" s="87"/>
      <c r="C25" s="113"/>
      <c r="D25" s="92"/>
      <c r="E25" s="114"/>
      <c r="F25" s="115"/>
      <c r="H25" s="83" t="s">
        <v>84</v>
      </c>
      <c r="I25" s="263"/>
      <c r="J25" s="92" t="s">
        <v>2</v>
      </c>
      <c r="K25" s="92">
        <v>4</v>
      </c>
      <c r="L25" s="93">
        <f>I29/21*K25</f>
        <v>53.912380952380943</v>
      </c>
    </row>
    <row r="26" spans="1:12">
      <c r="A26" s="83" t="s">
        <v>83</v>
      </c>
      <c r="B26" s="90"/>
      <c r="C26" s="302">
        <v>5882.84</v>
      </c>
      <c r="D26" s="92"/>
      <c r="E26" s="114"/>
      <c r="F26" s="115"/>
      <c r="H26" s="83" t="s">
        <v>87</v>
      </c>
      <c r="I26" s="263"/>
      <c r="J26" s="92"/>
      <c r="K26" s="92"/>
      <c r="L26" s="93"/>
    </row>
    <row r="27" spans="1:12">
      <c r="A27" s="89"/>
      <c r="B27" s="87"/>
      <c r="C27" s="88"/>
      <c r="D27" s="92" t="s">
        <v>2</v>
      </c>
      <c r="E27" s="92">
        <v>4</v>
      </c>
      <c r="F27" s="93">
        <f>C31/21*E27</f>
        <v>2310.0266666666666</v>
      </c>
      <c r="H27" s="83" t="s">
        <v>89</v>
      </c>
      <c r="I27" s="255">
        <v>103.09</v>
      </c>
      <c r="J27" s="92" t="s">
        <v>3</v>
      </c>
      <c r="K27" s="92">
        <v>5</v>
      </c>
      <c r="L27" s="93">
        <f>I29/21*K27</f>
        <v>67.390476190476178</v>
      </c>
    </row>
    <row r="28" spans="1:12">
      <c r="A28" s="89"/>
      <c r="B28" s="87"/>
      <c r="C28" s="88"/>
      <c r="D28" s="92"/>
      <c r="E28" s="92"/>
      <c r="F28" s="93"/>
      <c r="H28" s="116"/>
      <c r="I28" s="103"/>
      <c r="J28" s="89"/>
      <c r="K28" s="89"/>
      <c r="L28" s="117"/>
    </row>
    <row r="29" spans="1:12">
      <c r="A29" s="89"/>
      <c r="B29" s="87"/>
      <c r="C29" s="88"/>
      <c r="D29" s="92" t="s">
        <v>3</v>
      </c>
      <c r="E29" s="92">
        <v>5</v>
      </c>
      <c r="F29" s="93">
        <f>C31/21*E29</f>
        <v>2887.5333333333333</v>
      </c>
      <c r="H29" s="116" t="s">
        <v>15</v>
      </c>
      <c r="I29" s="103">
        <f>SUM(I24:I28)</f>
        <v>283.03999999999996</v>
      </c>
      <c r="J29" s="92" t="s">
        <v>5</v>
      </c>
      <c r="K29" s="89">
        <v>1</v>
      </c>
      <c r="L29" s="93">
        <f>I29/21*K29</f>
        <v>13.478095238095236</v>
      </c>
    </row>
    <row r="30" spans="1:12">
      <c r="A30" s="205" t="s">
        <v>105</v>
      </c>
      <c r="B30" s="205"/>
      <c r="C30" s="206">
        <v>6244.8</v>
      </c>
      <c r="D30" s="89"/>
      <c r="E30" s="89"/>
      <c r="F30" s="117"/>
      <c r="J30" s="89"/>
      <c r="K30" s="89"/>
      <c r="L30" s="249">
        <f>SUM(L21:L29)</f>
        <v>283.03999999999996</v>
      </c>
    </row>
    <row r="31" spans="1:12">
      <c r="A31" s="100" t="s">
        <v>15</v>
      </c>
      <c r="B31" s="119"/>
      <c r="C31" s="120">
        <f>C23+C24+C25+C30+C26</f>
        <v>12127.64</v>
      </c>
      <c r="D31" s="92" t="s">
        <v>5</v>
      </c>
      <c r="E31" s="89">
        <v>1</v>
      </c>
      <c r="F31" s="93">
        <f>C31/21*E31</f>
        <v>577.50666666666666</v>
      </c>
      <c r="J31" s="92"/>
      <c r="K31" s="89"/>
      <c r="L31" s="93"/>
    </row>
    <row r="32" spans="1:12">
      <c r="A32" s="100"/>
      <c r="B32" s="119"/>
      <c r="C32" s="120"/>
      <c r="D32" s="89"/>
      <c r="E32" s="89"/>
      <c r="F32" s="249">
        <f>SUM(F23:F31)</f>
        <v>12127.64</v>
      </c>
      <c r="J32" s="89"/>
      <c r="K32" s="89"/>
      <c r="L32" s="249"/>
    </row>
    <row r="33" spans="1:12">
      <c r="A33" s="242" t="s">
        <v>94</v>
      </c>
      <c r="B33" s="122"/>
      <c r="H33" s="83" t="s">
        <v>94</v>
      </c>
    </row>
    <row r="34" spans="1:12">
      <c r="A34" s="97"/>
      <c r="B34" s="119"/>
      <c r="C34" s="123"/>
      <c r="D34" s="92" t="s">
        <v>0</v>
      </c>
      <c r="E34" s="92">
        <v>29</v>
      </c>
      <c r="F34" s="93">
        <f>C39/44*E34</f>
        <v>4741.9086363636361</v>
      </c>
      <c r="H34" s="83" t="s">
        <v>76</v>
      </c>
      <c r="I34" s="263">
        <v>46.9</v>
      </c>
      <c r="J34" s="92" t="s">
        <v>0</v>
      </c>
      <c r="K34" s="92">
        <v>29</v>
      </c>
      <c r="L34" s="93">
        <f>I39/44*K34</f>
        <v>30.911363636363635</v>
      </c>
    </row>
    <row r="35" spans="1:12">
      <c r="A35" s="86" t="s">
        <v>49</v>
      </c>
      <c r="B35" s="87"/>
      <c r="C35" s="88"/>
      <c r="D35" s="92"/>
      <c r="E35" s="92"/>
      <c r="F35" s="93"/>
      <c r="I35" s="166"/>
      <c r="J35" s="92"/>
      <c r="K35" s="92"/>
      <c r="L35" s="93"/>
    </row>
    <row r="36" spans="1:12">
      <c r="A36" s="89"/>
      <c r="B36" s="87"/>
      <c r="C36" s="88"/>
      <c r="D36" s="92" t="s">
        <v>2</v>
      </c>
      <c r="E36" s="92">
        <v>13</v>
      </c>
      <c r="F36" s="93">
        <f>C39/44*E36</f>
        <v>2125.6831818181818</v>
      </c>
      <c r="I36" s="166"/>
      <c r="J36" s="92" t="s">
        <v>2</v>
      </c>
      <c r="K36" s="92">
        <v>13</v>
      </c>
      <c r="L36" s="93">
        <f>I39/44*K36</f>
        <v>13.856818181818182</v>
      </c>
    </row>
    <row r="37" spans="1:12">
      <c r="A37" s="199" t="s">
        <v>50</v>
      </c>
      <c r="B37" s="95"/>
      <c r="C37" s="206">
        <v>7194.62</v>
      </c>
      <c r="D37" s="92"/>
      <c r="E37" s="92"/>
      <c r="F37" s="93"/>
      <c r="I37" s="166"/>
      <c r="J37" s="92"/>
      <c r="K37" s="92"/>
      <c r="L37" s="93"/>
    </row>
    <row r="38" spans="1:12">
      <c r="A38" s="89"/>
      <c r="B38" s="87"/>
      <c r="C38" s="88"/>
      <c r="D38" s="92" t="s">
        <v>3</v>
      </c>
      <c r="E38" s="92">
        <v>1</v>
      </c>
      <c r="F38" s="93">
        <f>C39/44*E38</f>
        <v>163.5140909090909</v>
      </c>
      <c r="I38" s="166"/>
      <c r="J38" s="92" t="s">
        <v>3</v>
      </c>
      <c r="K38" s="92">
        <v>1</v>
      </c>
      <c r="L38" s="93">
        <f>I39/44*K38</f>
        <v>1.0659090909090909</v>
      </c>
    </row>
    <row r="39" spans="1:12">
      <c r="A39" s="118" t="s">
        <v>15</v>
      </c>
      <c r="B39" s="119"/>
      <c r="C39" s="140">
        <f>+C37</f>
        <v>7194.62</v>
      </c>
      <c r="D39" s="92"/>
      <c r="E39" s="92"/>
      <c r="F39" s="93"/>
      <c r="H39" s="116" t="s">
        <v>15</v>
      </c>
      <c r="I39" s="303">
        <f>SUM(I34:I38)</f>
        <v>46.9</v>
      </c>
      <c r="J39" s="92"/>
      <c r="K39" s="92"/>
      <c r="L39" s="93"/>
    </row>
    <row r="40" spans="1:12">
      <c r="A40" s="118"/>
      <c r="B40" s="119"/>
      <c r="C40" s="88"/>
      <c r="D40" s="92" t="s">
        <v>5</v>
      </c>
      <c r="E40" s="92"/>
      <c r="F40" s="93">
        <f>C39/42*E40</f>
        <v>0</v>
      </c>
      <c r="J40" s="92" t="s">
        <v>5</v>
      </c>
      <c r="K40" s="92"/>
      <c r="L40" s="93">
        <f>I39/42*K40</f>
        <v>0</v>
      </c>
    </row>
    <row r="41" spans="1:12">
      <c r="A41" s="118"/>
      <c r="B41" s="119"/>
      <c r="C41" s="88"/>
      <c r="D41" s="92"/>
      <c r="E41" s="92"/>
      <c r="F41" s="93"/>
      <c r="J41" s="92"/>
      <c r="K41" s="92"/>
      <c r="L41" s="93"/>
    </row>
    <row r="42" spans="1:12">
      <c r="A42" s="89"/>
      <c r="B42" s="89"/>
      <c r="C42" s="88"/>
      <c r="D42" s="92" t="s">
        <v>10</v>
      </c>
      <c r="E42" s="92">
        <v>1</v>
      </c>
      <c r="F42" s="93">
        <f>C39/44*E42</f>
        <v>163.5140909090909</v>
      </c>
      <c r="J42" s="92" t="s">
        <v>10</v>
      </c>
      <c r="K42" s="92">
        <v>1</v>
      </c>
      <c r="L42" s="93">
        <f>I39/44*K42</f>
        <v>1.0659090909090909</v>
      </c>
    </row>
    <row r="43" spans="1:12">
      <c r="A43" s="232"/>
      <c r="B43" s="144"/>
      <c r="C43" s="108"/>
      <c r="D43" s="92"/>
      <c r="E43" s="92"/>
      <c r="F43" s="93"/>
      <c r="H43" s="232"/>
      <c r="J43" s="92"/>
      <c r="K43" s="92"/>
      <c r="L43" s="93"/>
    </row>
    <row r="44" spans="1:12">
      <c r="A44" s="106"/>
      <c r="B44" s="124"/>
      <c r="C44" s="108"/>
      <c r="D44" s="89"/>
      <c r="E44" s="89"/>
      <c r="F44" s="250">
        <f>SUM(F34:F43)</f>
        <v>7194.619999999999</v>
      </c>
      <c r="H44" s="106"/>
      <c r="J44" s="89"/>
      <c r="K44" s="89"/>
      <c r="L44" s="250">
        <f>SUM(L34:L43)</f>
        <v>46.899999999999991</v>
      </c>
    </row>
    <row r="45" spans="1:12">
      <c r="A45" s="83"/>
      <c r="B45" s="263"/>
      <c r="C45" s="125"/>
      <c r="D45" s="89"/>
      <c r="E45" s="126">
        <f>SUM(E34:E44)</f>
        <v>44</v>
      </c>
      <c r="F45" s="89"/>
      <c r="H45" s="83"/>
      <c r="I45" s="308"/>
      <c r="J45" s="89"/>
      <c r="K45" s="126">
        <f>SUM(K34:K44)</f>
        <v>44</v>
      </c>
      <c r="L45" s="89"/>
    </row>
    <row r="46" spans="1:12">
      <c r="A46" s="92" t="s">
        <v>0</v>
      </c>
      <c r="B46" s="314">
        <f>+F7+L7+F23+L21+F34+L34-C7-C37</f>
        <v>2313.6971809523848</v>
      </c>
      <c r="C46" s="125"/>
      <c r="D46" s="144"/>
      <c r="E46" s="233"/>
      <c r="F46" s="144"/>
      <c r="H46" s="83"/>
      <c r="I46" s="308"/>
      <c r="J46" s="144"/>
      <c r="K46" s="233"/>
      <c r="L46" s="144"/>
    </row>
    <row r="47" spans="1:12">
      <c r="A47" s="92"/>
      <c r="B47" s="314"/>
      <c r="C47" s="125"/>
      <c r="D47" s="144"/>
      <c r="E47" s="233"/>
      <c r="F47" s="144"/>
      <c r="H47" s="83"/>
      <c r="I47" s="308"/>
      <c r="J47" s="144"/>
      <c r="K47" s="233"/>
      <c r="L47" s="144"/>
    </row>
    <row r="48" spans="1:12">
      <c r="A48" s="92" t="s">
        <v>2</v>
      </c>
      <c r="B48" s="314">
        <f>+F9+L9+F27+L25+F36+L36-C30+C19</f>
        <v>1512.8246476190468</v>
      </c>
      <c r="C48" s="125"/>
      <c r="D48" s="144"/>
      <c r="E48" s="233"/>
      <c r="F48" s="144"/>
      <c r="H48" s="83"/>
      <c r="I48" s="308"/>
      <c r="J48" s="144"/>
      <c r="K48" s="233"/>
      <c r="L48" s="144"/>
    </row>
    <row r="49" spans="1:9">
      <c r="A49" s="83"/>
      <c r="B49" s="314"/>
      <c r="C49" s="125"/>
      <c r="D49" s="144"/>
      <c r="E49" s="233"/>
      <c r="F49" s="144"/>
      <c r="H49" s="83"/>
      <c r="I49" s="308"/>
    </row>
    <row r="50" spans="1:9">
      <c r="A50" s="92" t="s">
        <v>3</v>
      </c>
      <c r="B50" s="129">
        <f>+F11+L11+F29+L27+F38+L38</f>
        <v>3902.0902095238089</v>
      </c>
    </row>
    <row r="51" spans="1:9">
      <c r="A51" s="92"/>
      <c r="B51" s="91"/>
    </row>
    <row r="52" spans="1:9">
      <c r="A52" s="92" t="s">
        <v>5</v>
      </c>
      <c r="B52" s="315">
        <f>+F31+L29+L13+F13+F40+L40</f>
        <v>982.27796190476181</v>
      </c>
    </row>
    <row r="53" spans="1:9">
      <c r="A53" s="92"/>
      <c r="B53" s="91"/>
    </row>
    <row r="54" spans="1:9">
      <c r="A54" s="92" t="s">
        <v>10</v>
      </c>
      <c r="B54" s="129">
        <f>+F42+L42</f>
        <v>164.57999999999998</v>
      </c>
    </row>
    <row r="55" spans="1:9">
      <c r="A55" s="92"/>
      <c r="B55" s="91"/>
    </row>
    <row r="57" spans="1:9">
      <c r="B57" s="251">
        <f>SUM(B46:B56)</f>
        <v>8875.470000000003</v>
      </c>
    </row>
  </sheetData>
  <phoneticPr fontId="0" type="noConversion"/>
  <pageMargins left="0.7" right="0.7" top="0.75" bottom="0.75" header="0.3" footer="0.3"/>
  <pageSetup paperSize="8" scale="9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2:F33"/>
  <sheetViews>
    <sheetView topLeftCell="A22" workbookViewId="0">
      <selection activeCell="B17" sqref="B17"/>
    </sheetView>
  </sheetViews>
  <sheetFormatPr defaultRowHeight="15"/>
  <cols>
    <col min="1" max="1" width="34.140625" customWidth="1"/>
    <col min="2" max="2" width="13.28515625" customWidth="1"/>
    <col min="3" max="3" width="15.42578125" customWidth="1"/>
    <col min="4" max="4" width="13.5703125" customWidth="1"/>
    <col min="5" max="5" width="17" customWidth="1"/>
    <col min="6" max="6" width="11" bestFit="1" customWidth="1"/>
    <col min="7" max="7" width="5.28515625" customWidth="1"/>
  </cols>
  <sheetData>
    <row r="2" spans="1:6" ht="18.75">
      <c r="A2" s="5" t="s">
        <v>122</v>
      </c>
    </row>
    <row r="3" spans="1:6">
      <c r="A3" s="4" t="s">
        <v>39</v>
      </c>
    </row>
    <row r="5" spans="1:6">
      <c r="A5" s="279" t="s">
        <v>1</v>
      </c>
      <c r="B5" s="280" t="s">
        <v>157</v>
      </c>
      <c r="C5" s="280" t="s">
        <v>158</v>
      </c>
    </row>
    <row r="6" spans="1:6">
      <c r="A6" s="280"/>
      <c r="B6" s="280"/>
      <c r="C6" s="280"/>
    </row>
    <row r="7" spans="1:6">
      <c r="A7" s="281" t="s">
        <v>139</v>
      </c>
      <c r="B7" s="282">
        <v>2370</v>
      </c>
      <c r="C7" s="283">
        <v>2580</v>
      </c>
      <c r="D7" s="278" t="s">
        <v>0</v>
      </c>
      <c r="E7" s="21">
        <v>14</v>
      </c>
      <c r="F7" s="37">
        <f>+B11/E14*E7</f>
        <v>390.09090909090907</v>
      </c>
    </row>
    <row r="8" spans="1:6">
      <c r="A8" s="281"/>
      <c r="B8" s="282"/>
      <c r="C8" s="283"/>
      <c r="D8" s="278"/>
      <c r="E8" s="21"/>
      <c r="F8" s="37"/>
    </row>
    <row r="9" spans="1:6">
      <c r="A9" s="311" t="s">
        <v>123</v>
      </c>
      <c r="B9" s="289">
        <v>4337</v>
      </c>
      <c r="C9" s="283"/>
      <c r="D9" s="278" t="s">
        <v>2</v>
      </c>
      <c r="E9" s="21">
        <v>5</v>
      </c>
      <c r="F9" s="37">
        <f>B11/E14*E9</f>
        <v>139.31818181818181</v>
      </c>
    </row>
    <row r="10" spans="1:6">
      <c r="A10" s="284"/>
      <c r="B10" s="285"/>
      <c r="C10" s="284"/>
      <c r="D10" s="278"/>
      <c r="E10" s="21"/>
      <c r="F10" s="37"/>
    </row>
    <row r="11" spans="1:6">
      <c r="A11" s="292" t="s">
        <v>140</v>
      </c>
      <c r="B11" s="293">
        <f>+B7+C7-B9</f>
        <v>613</v>
      </c>
      <c r="C11" s="284"/>
      <c r="D11" s="278" t="s">
        <v>3</v>
      </c>
      <c r="E11" s="21">
        <v>3</v>
      </c>
      <c r="F11" s="37">
        <f>B11/E14*E11</f>
        <v>83.590909090909093</v>
      </c>
    </row>
    <row r="12" spans="1:6">
      <c r="A12" s="284"/>
      <c r="B12" s="285"/>
      <c r="C12" s="284"/>
      <c r="D12" s="278"/>
      <c r="E12" s="21"/>
      <c r="F12" s="37"/>
    </row>
    <row r="13" spans="1:6">
      <c r="A13" s="279" t="s">
        <v>8</v>
      </c>
      <c r="B13" s="286"/>
      <c r="C13" s="280"/>
      <c r="D13" s="278" t="s">
        <v>5</v>
      </c>
      <c r="E13" s="21"/>
      <c r="F13" s="37">
        <f>+B12/E14*E13</f>
        <v>0</v>
      </c>
    </row>
    <row r="14" spans="1:6">
      <c r="A14" s="284"/>
      <c r="B14" s="286"/>
      <c r="C14" s="280"/>
      <c r="D14" s="4"/>
      <c r="E14" s="294">
        <f>+E7+E9+E11</f>
        <v>22</v>
      </c>
      <c r="F14" s="295">
        <f>+F7+F9+F11</f>
        <v>613</v>
      </c>
    </row>
    <row r="15" spans="1:6">
      <c r="A15" s="281" t="s">
        <v>139</v>
      </c>
      <c r="B15" s="282">
        <v>1740</v>
      </c>
      <c r="C15" s="287">
        <v>2520</v>
      </c>
      <c r="D15" s="278"/>
      <c r="E15" s="21"/>
      <c r="F15" s="37"/>
    </row>
    <row r="16" spans="1:6">
      <c r="A16" s="280"/>
      <c r="B16" s="286"/>
      <c r="C16" s="280"/>
      <c r="D16" s="278"/>
      <c r="E16" s="21"/>
      <c r="F16" s="37"/>
    </row>
    <row r="17" spans="1:6">
      <c r="A17" s="311" t="s">
        <v>123</v>
      </c>
      <c r="B17" s="340">
        <v>0</v>
      </c>
      <c r="C17" s="291"/>
      <c r="D17" s="278" t="s">
        <v>3</v>
      </c>
      <c r="E17" s="21">
        <v>6</v>
      </c>
      <c r="F17" s="37">
        <f>+B19/E21*E17</f>
        <v>1704</v>
      </c>
    </row>
    <row r="18" spans="1:6" ht="15.75">
      <c r="A18" s="312"/>
      <c r="B18" s="288"/>
      <c r="C18" s="280"/>
      <c r="D18" s="278"/>
      <c r="E18" s="21"/>
      <c r="F18" s="37"/>
    </row>
    <row r="19" spans="1:6">
      <c r="A19" s="313" t="s">
        <v>140</v>
      </c>
      <c r="B19" s="293">
        <f>B15+C15</f>
        <v>4260</v>
      </c>
      <c r="C19" s="280"/>
      <c r="D19" s="278" t="s">
        <v>5</v>
      </c>
      <c r="E19" s="21">
        <v>9</v>
      </c>
      <c r="F19" s="37">
        <f>+B19/E21*E19</f>
        <v>2556</v>
      </c>
    </row>
    <row r="20" spans="1:6">
      <c r="A20" s="311"/>
      <c r="B20" s="289"/>
      <c r="C20" s="280"/>
      <c r="D20" s="278"/>
      <c r="E20" s="21"/>
      <c r="F20" s="37"/>
    </row>
    <row r="21" spans="1:6">
      <c r="A21" s="290"/>
      <c r="B21" s="290"/>
      <c r="C21" s="280"/>
      <c r="D21" s="278"/>
      <c r="E21" s="321">
        <v>15</v>
      </c>
      <c r="F21" s="37"/>
    </row>
    <row r="22" spans="1:6">
      <c r="A22" s="280"/>
      <c r="B22" s="286"/>
      <c r="C22" s="280"/>
      <c r="D22" s="4"/>
      <c r="E22" s="294"/>
      <c r="F22" s="295"/>
    </row>
    <row r="23" spans="1:6">
      <c r="E23" t="s">
        <v>131</v>
      </c>
    </row>
    <row r="27" spans="1:6">
      <c r="A27" s="278" t="s">
        <v>0</v>
      </c>
      <c r="B27" s="339">
        <f>+F7</f>
        <v>390.09090909090907</v>
      </c>
    </row>
    <row r="28" spans="1:6">
      <c r="A28" s="278"/>
      <c r="B28" s="21"/>
    </row>
    <row r="29" spans="1:6">
      <c r="A29" s="278" t="s">
        <v>2</v>
      </c>
      <c r="B29" s="339">
        <f>+F9</f>
        <v>139.31818181818181</v>
      </c>
    </row>
    <row r="30" spans="1:6">
      <c r="A30" s="278"/>
      <c r="B30" s="21"/>
    </row>
    <row r="31" spans="1:6">
      <c r="A31" s="278" t="s">
        <v>3</v>
      </c>
      <c r="B31" s="339">
        <f>+F11+F17</f>
        <v>1787.590909090909</v>
      </c>
    </row>
    <row r="32" spans="1:6">
      <c r="A32" s="278"/>
      <c r="B32" s="21"/>
    </row>
    <row r="33" spans="1:2">
      <c r="A33" s="278" t="s">
        <v>5</v>
      </c>
      <c r="B33" s="339">
        <f>+F13+F19</f>
        <v>2556</v>
      </c>
    </row>
  </sheetData>
  <phoneticPr fontId="0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6"/>
  <sheetViews>
    <sheetView topLeftCell="A52" workbookViewId="0">
      <selection activeCell="C60" sqref="C60"/>
    </sheetView>
  </sheetViews>
  <sheetFormatPr defaultRowHeight="15"/>
  <cols>
    <col min="1" max="1" width="27.7109375" customWidth="1"/>
    <col min="2" max="2" width="18.42578125" customWidth="1"/>
    <col min="3" max="3" width="5.42578125" customWidth="1"/>
    <col min="4" max="4" width="14.7109375" customWidth="1"/>
    <col min="5" max="5" width="12.7109375" customWidth="1"/>
    <col min="6" max="6" width="11" bestFit="1" customWidth="1"/>
    <col min="7" max="7" width="37.85546875" customWidth="1"/>
    <col min="8" max="8" width="13" customWidth="1"/>
  </cols>
  <sheetData>
    <row r="1" spans="1:11" ht="18.75">
      <c r="A1" s="5" t="s">
        <v>32</v>
      </c>
    </row>
    <row r="2" spans="1:11">
      <c r="A2" s="13" t="s">
        <v>28</v>
      </c>
      <c r="B2" t="s">
        <v>77</v>
      </c>
      <c r="C2" t="s">
        <v>33</v>
      </c>
      <c r="E2" t="s">
        <v>31</v>
      </c>
      <c r="G2" s="1"/>
    </row>
    <row r="3" spans="1:11">
      <c r="A3" s="13"/>
    </row>
    <row r="4" spans="1:11">
      <c r="A4" s="44" t="s">
        <v>30</v>
      </c>
      <c r="B4" s="298">
        <v>13933.97</v>
      </c>
      <c r="C4" s="44">
        <v>1511</v>
      </c>
      <c r="D4" s="45" t="s">
        <v>0</v>
      </c>
      <c r="E4" s="73">
        <f>B4*C4/C15</f>
        <v>4852.3228094030874</v>
      </c>
      <c r="G4" t="s">
        <v>40</v>
      </c>
      <c r="K4">
        <v>9</v>
      </c>
    </row>
    <row r="5" spans="1:11">
      <c r="A5" s="45" t="s">
        <v>35</v>
      </c>
      <c r="B5" s="18"/>
      <c r="C5" s="18"/>
      <c r="D5" s="21"/>
      <c r="E5" s="73"/>
    </row>
    <row r="6" spans="1:11">
      <c r="A6" s="44"/>
      <c r="B6" s="18"/>
      <c r="C6" s="44">
        <v>1215</v>
      </c>
      <c r="D6" s="45" t="s">
        <v>29</v>
      </c>
      <c r="E6" s="73">
        <f>B4*C6/C15</f>
        <v>3901.768506568334</v>
      </c>
    </row>
    <row r="7" spans="1:11">
      <c r="A7" s="46"/>
      <c r="B7" s="47"/>
      <c r="C7" s="44"/>
      <c r="D7" s="45"/>
      <c r="E7" s="73"/>
      <c r="G7" s="45" t="s">
        <v>0</v>
      </c>
      <c r="H7" s="73">
        <f>+E4+E18+E32+E46+E60+E75-B18</f>
        <v>5691.8966418712243</v>
      </c>
    </row>
    <row r="8" spans="1:11">
      <c r="A8" s="44"/>
      <c r="B8" s="18"/>
      <c r="C8" s="44">
        <v>499</v>
      </c>
      <c r="D8" s="45" t="s">
        <v>2</v>
      </c>
      <c r="E8" s="73">
        <f>B4*C8/C15</f>
        <v>1602.4547199815624</v>
      </c>
      <c r="G8" s="21"/>
      <c r="H8" s="73"/>
    </row>
    <row r="9" spans="1:11">
      <c r="A9" s="44"/>
      <c r="B9" s="18"/>
      <c r="C9" s="44"/>
      <c r="D9" s="45"/>
      <c r="E9" s="73"/>
      <c r="G9" s="45" t="s">
        <v>29</v>
      </c>
      <c r="H9" s="73">
        <f>+E6+E20+E34+E48+E62+E77</f>
        <v>5908.99018522405</v>
      </c>
    </row>
    <row r="10" spans="1:11">
      <c r="A10" s="44"/>
      <c r="B10" s="18"/>
      <c r="C10" s="44">
        <v>500</v>
      </c>
      <c r="D10" s="45" t="s">
        <v>3</v>
      </c>
      <c r="E10" s="73">
        <f>B4*C10/C15</f>
        <v>1605.666052085734</v>
      </c>
      <c r="G10" s="45"/>
      <c r="H10" s="73"/>
    </row>
    <row r="11" spans="1:11">
      <c r="A11" s="44"/>
      <c r="B11" s="18"/>
      <c r="C11" s="44"/>
      <c r="D11" s="45"/>
      <c r="E11" s="73"/>
      <c r="G11" s="45" t="s">
        <v>2</v>
      </c>
      <c r="H11" s="73">
        <f>+E8+E22+E36+E50+E64+E79-B4</f>
        <v>-11507.150162611686</v>
      </c>
    </row>
    <row r="12" spans="1:11">
      <c r="A12" s="44"/>
      <c r="B12" s="309">
        <v>494</v>
      </c>
      <c r="C12" s="44"/>
      <c r="D12" s="307" t="s">
        <v>120</v>
      </c>
      <c r="E12" s="306">
        <f>B4*C12/C15</f>
        <v>0</v>
      </c>
      <c r="G12" s="45"/>
      <c r="H12" s="73"/>
    </row>
    <row r="13" spans="1:11">
      <c r="A13" s="44"/>
      <c r="B13" s="18"/>
      <c r="C13" s="44"/>
      <c r="D13" s="45"/>
      <c r="E13" s="73"/>
      <c r="G13" s="45" t="s">
        <v>3</v>
      </c>
      <c r="H13" s="73">
        <f>+E10+E24+E38+E52+E66+E81</f>
        <v>2431.6832037959052</v>
      </c>
    </row>
    <row r="14" spans="1:11">
      <c r="A14" s="44"/>
      <c r="B14" s="18"/>
      <c r="C14" s="44">
        <v>614</v>
      </c>
      <c r="D14" s="45" t="s">
        <v>5</v>
      </c>
      <c r="E14" s="73">
        <f>B4*C14/C15</f>
        <v>1971.7579119612815</v>
      </c>
      <c r="G14" s="45"/>
      <c r="H14" s="73"/>
    </row>
    <row r="15" spans="1:11">
      <c r="A15" s="44"/>
      <c r="B15" s="18"/>
      <c r="C15" s="48">
        <f>SUM(C4:C14)</f>
        <v>4339</v>
      </c>
      <c r="D15" s="21"/>
      <c r="E15" s="240">
        <f>SUM(E4:E14)</f>
        <v>13933.970000000001</v>
      </c>
      <c r="G15" s="45" t="s">
        <v>120</v>
      </c>
      <c r="H15" s="73">
        <f>+E12+E26+E40+E56+E70+E85-B46-B60</f>
        <v>-3570.4768425408647</v>
      </c>
    </row>
    <row r="16" spans="1:11">
      <c r="A16" s="44"/>
      <c r="B16" s="18"/>
      <c r="C16" s="48"/>
      <c r="D16" s="21"/>
      <c r="E16" s="73"/>
      <c r="G16" s="45"/>
      <c r="H16" s="73"/>
    </row>
    <row r="17" spans="1:8">
      <c r="A17" s="44"/>
      <c r="B17" s="18"/>
      <c r="C17" s="48"/>
      <c r="D17" s="21"/>
      <c r="E17" s="73"/>
      <c r="G17" s="45" t="s">
        <v>5</v>
      </c>
      <c r="H17" s="73">
        <f>+E14+E28+E42+E54+E68+E83-B32-B75</f>
        <v>1045.0569742613718</v>
      </c>
    </row>
    <row r="18" spans="1:8">
      <c r="A18" s="44" t="s">
        <v>34</v>
      </c>
      <c r="B18" s="73">
        <v>1656.65</v>
      </c>
      <c r="C18" s="44">
        <v>1511</v>
      </c>
      <c r="D18" s="45" t="s">
        <v>0</v>
      </c>
      <c r="E18" s="73">
        <f>B18*C18/C29</f>
        <v>576.90669509103475</v>
      </c>
      <c r="G18" s="21"/>
      <c r="H18" s="297">
        <f>H7+H9+H11+H13+H15+H17</f>
        <v>0</v>
      </c>
    </row>
    <row r="19" spans="1:8">
      <c r="A19" s="45" t="s">
        <v>46</v>
      </c>
      <c r="B19" s="18"/>
      <c r="C19" s="18"/>
      <c r="D19" s="21"/>
      <c r="E19" s="73"/>
    </row>
    <row r="20" spans="1:8">
      <c r="A20" s="44"/>
      <c r="B20" s="18"/>
      <c r="C20" s="44">
        <v>1215</v>
      </c>
      <c r="D20" s="45" t="s">
        <v>29</v>
      </c>
      <c r="E20" s="73">
        <f>B18*C20/C29</f>
        <v>463.8925443650611</v>
      </c>
    </row>
    <row r="21" spans="1:8">
      <c r="A21" s="46"/>
      <c r="B21" s="18"/>
      <c r="C21" s="44"/>
      <c r="D21" s="45"/>
      <c r="E21" s="73"/>
    </row>
    <row r="22" spans="1:8">
      <c r="A22" s="44"/>
      <c r="B22" s="18"/>
      <c r="C22" s="44">
        <v>499</v>
      </c>
      <c r="D22" s="45" t="s">
        <v>2</v>
      </c>
      <c r="E22" s="73">
        <f>B18*C22/C29</f>
        <v>190.52047706844897</v>
      </c>
    </row>
    <row r="23" spans="1:8">
      <c r="A23" s="44"/>
      <c r="B23" s="18"/>
      <c r="C23" s="44"/>
      <c r="D23" s="45"/>
      <c r="E23" s="73"/>
    </row>
    <row r="24" spans="1:8">
      <c r="A24" s="44"/>
      <c r="B24" s="18"/>
      <c r="C24" s="44">
        <v>500</v>
      </c>
      <c r="D24" s="45" t="s">
        <v>3</v>
      </c>
      <c r="E24" s="73">
        <f>B18*C24/C29</f>
        <v>190.90228163171238</v>
      </c>
    </row>
    <row r="25" spans="1:8">
      <c r="A25" s="44"/>
      <c r="B25" s="18"/>
      <c r="C25" s="44"/>
      <c r="D25" s="45"/>
      <c r="E25" s="73"/>
    </row>
    <row r="26" spans="1:8">
      <c r="A26" s="44"/>
      <c r="B26" s="18"/>
      <c r="C26" s="44"/>
      <c r="D26" s="307" t="s">
        <v>120</v>
      </c>
      <c r="E26" s="306">
        <f>B18*C26/C29</f>
        <v>0</v>
      </c>
    </row>
    <row r="27" spans="1:8">
      <c r="A27" s="44"/>
      <c r="B27" s="18"/>
      <c r="C27" s="44"/>
      <c r="D27" s="45"/>
      <c r="E27" s="73"/>
    </row>
    <row r="28" spans="1:8">
      <c r="A28" s="44"/>
      <c r="B28" s="18"/>
      <c r="C28" s="44">
        <v>614</v>
      </c>
      <c r="D28" s="45" t="s">
        <v>5</v>
      </c>
      <c r="E28" s="73">
        <f>B18*C28/C29</f>
        <v>234.42800184374281</v>
      </c>
    </row>
    <row r="29" spans="1:8">
      <c r="A29" s="44"/>
      <c r="B29" s="18"/>
      <c r="C29" s="48">
        <f>SUM(C18:C28)</f>
        <v>4339</v>
      </c>
      <c r="D29" s="21"/>
      <c r="E29" s="240">
        <f>SUM(E18:E28)</f>
        <v>1656.65</v>
      </c>
    </row>
    <row r="30" spans="1:8">
      <c r="A30" s="44"/>
      <c r="B30" s="18"/>
      <c r="C30" s="48"/>
      <c r="D30" s="21"/>
      <c r="E30" s="26"/>
      <c r="G30" t="s">
        <v>131</v>
      </c>
    </row>
    <row r="31" spans="1:8">
      <c r="A31" s="44"/>
      <c r="B31" s="18"/>
      <c r="C31" s="48"/>
      <c r="D31" s="21"/>
      <c r="E31" s="26"/>
    </row>
    <row r="32" spans="1:8">
      <c r="A32" s="44" t="s">
        <v>47</v>
      </c>
      <c r="B32" s="73">
        <v>1462</v>
      </c>
      <c r="C32" s="44">
        <v>1511</v>
      </c>
      <c r="D32" s="45" t="s">
        <v>0</v>
      </c>
      <c r="E32" s="73">
        <f>B32*C32/C43</f>
        <v>509.12237842820929</v>
      </c>
    </row>
    <row r="33" spans="1:8">
      <c r="A33" s="45" t="s">
        <v>62</v>
      </c>
      <c r="B33" s="18"/>
      <c r="C33" s="18"/>
      <c r="D33" s="21"/>
      <c r="E33" s="73"/>
    </row>
    <row r="34" spans="1:8">
      <c r="A34" s="44"/>
      <c r="B34" s="18"/>
      <c r="C34" s="44">
        <v>1215</v>
      </c>
      <c r="D34" s="45" t="s">
        <v>29</v>
      </c>
      <c r="E34" s="73">
        <f>B32*C34/C43</f>
        <v>409.386955519705</v>
      </c>
    </row>
    <row r="35" spans="1:8">
      <c r="A35" s="46"/>
      <c r="B35" s="18"/>
      <c r="C35" s="44"/>
      <c r="D35" s="45"/>
      <c r="E35" s="73"/>
    </row>
    <row r="36" spans="1:8">
      <c r="A36" s="44"/>
      <c r="B36" s="18"/>
      <c r="C36" s="44">
        <v>499</v>
      </c>
      <c r="D36" s="45" t="s">
        <v>2</v>
      </c>
      <c r="E36" s="73">
        <f>B32*C36/C43</f>
        <v>168.1350541599447</v>
      </c>
    </row>
    <row r="37" spans="1:8">
      <c r="A37" s="44"/>
      <c r="B37" s="18"/>
      <c r="C37" s="44"/>
      <c r="D37" s="45"/>
      <c r="E37" s="73"/>
    </row>
    <row r="38" spans="1:8">
      <c r="A38" s="44"/>
      <c r="B38" s="18"/>
      <c r="C38" s="44">
        <v>500</v>
      </c>
      <c r="D38" s="45" t="s">
        <v>3</v>
      </c>
      <c r="E38" s="73">
        <f>B32*C38/C43</f>
        <v>168.4719981562572</v>
      </c>
    </row>
    <row r="39" spans="1:8">
      <c r="A39" s="44"/>
      <c r="B39" s="18"/>
      <c r="C39" s="44"/>
      <c r="D39" s="45"/>
      <c r="E39" s="73"/>
    </row>
    <row r="40" spans="1:8">
      <c r="A40" s="44"/>
      <c r="B40" s="18"/>
      <c r="C40" s="44"/>
      <c r="D40" s="307" t="s">
        <v>120</v>
      </c>
      <c r="E40" s="306">
        <f>B32*C40/C43</f>
        <v>0</v>
      </c>
    </row>
    <row r="41" spans="1:8">
      <c r="A41" s="44"/>
      <c r="B41" s="18"/>
      <c r="C41" s="44"/>
      <c r="D41" s="45"/>
      <c r="E41" s="73"/>
    </row>
    <row r="42" spans="1:8">
      <c r="A42" s="44"/>
      <c r="B42" s="18"/>
      <c r="C42" s="44">
        <v>614</v>
      </c>
      <c r="D42" s="45" t="s">
        <v>5</v>
      </c>
      <c r="E42" s="73">
        <f>B32*C42/C43</f>
        <v>206.88361373588384</v>
      </c>
    </row>
    <row r="43" spans="1:8">
      <c r="A43" s="44"/>
      <c r="B43" s="18"/>
      <c r="C43" s="48">
        <f>SUM(C32:C42)</f>
        <v>4339</v>
      </c>
      <c r="D43" s="21"/>
      <c r="E43" s="277">
        <f>SUM(E32:E42)</f>
        <v>1462</v>
      </c>
    </row>
    <row r="44" spans="1:8">
      <c r="A44" s="44"/>
      <c r="B44" s="18"/>
      <c r="C44" s="48"/>
      <c r="D44" s="21"/>
      <c r="E44" s="26"/>
    </row>
    <row r="45" spans="1:8">
      <c r="A45" s="44"/>
      <c r="B45" s="18"/>
      <c r="C45" s="48"/>
      <c r="D45" s="21"/>
      <c r="E45" s="26"/>
    </row>
    <row r="46" spans="1:8">
      <c r="A46" s="44" t="s">
        <v>118</v>
      </c>
      <c r="B46" s="231">
        <v>3071.65</v>
      </c>
      <c r="C46" s="44">
        <v>1511</v>
      </c>
      <c r="D46" s="45" t="s">
        <v>0</v>
      </c>
      <c r="E46" s="73">
        <f>B46*C46/C57</f>
        <v>960.32757086695642</v>
      </c>
    </row>
    <row r="47" spans="1:8">
      <c r="A47" s="44"/>
      <c r="B47" s="231"/>
      <c r="C47" s="44"/>
      <c r="D47" s="45"/>
      <c r="E47" s="73"/>
    </row>
    <row r="48" spans="1:8" ht="18.75" customHeight="1">
      <c r="A48" s="45" t="s">
        <v>121</v>
      </c>
      <c r="B48" s="73"/>
      <c r="C48" s="44">
        <v>1215</v>
      </c>
      <c r="D48" s="45" t="s">
        <v>29</v>
      </c>
      <c r="E48" s="73">
        <f>B46*C48/C57</f>
        <v>772.20251396648041</v>
      </c>
      <c r="F48" s="70"/>
      <c r="G48" s="75"/>
      <c r="H48" s="70"/>
    </row>
    <row r="49" spans="1:8" ht="15.75" customHeight="1">
      <c r="A49" s="49"/>
      <c r="B49" s="26"/>
      <c r="C49" s="44"/>
      <c r="D49" s="45"/>
      <c r="E49" s="73"/>
      <c r="F49" s="70"/>
      <c r="G49" s="75"/>
      <c r="H49" s="70"/>
    </row>
    <row r="50" spans="1:8" ht="15.75" customHeight="1">
      <c r="A50" s="49"/>
      <c r="B50" s="73"/>
      <c r="C50" s="44">
        <v>499</v>
      </c>
      <c r="D50" s="45" t="s">
        <v>2</v>
      </c>
      <c r="E50" s="73">
        <f>B46*C50/C57</f>
        <v>317.14325470722122</v>
      </c>
      <c r="F50" s="70"/>
      <c r="G50" s="75"/>
      <c r="H50" s="70"/>
    </row>
    <row r="51" spans="1:8">
      <c r="A51" s="49"/>
      <c r="B51" s="18"/>
      <c r="C51" s="44"/>
      <c r="D51" s="45"/>
      <c r="E51" s="73"/>
      <c r="F51" s="70"/>
      <c r="G51" s="1"/>
      <c r="H51" s="70"/>
    </row>
    <row r="52" spans="1:8">
      <c r="A52" s="49"/>
      <c r="B52" s="196"/>
      <c r="C52" s="44">
        <v>500</v>
      </c>
      <c r="D52" s="45" t="s">
        <v>3</v>
      </c>
      <c r="E52" s="73">
        <f>B46*C52/C57</f>
        <v>317.77881233188498</v>
      </c>
      <c r="F52" s="70"/>
      <c r="G52" s="1"/>
      <c r="H52" s="70"/>
    </row>
    <row r="53" spans="1:8">
      <c r="A53" s="49"/>
      <c r="B53" s="18"/>
      <c r="C53" s="44"/>
      <c r="D53" s="45"/>
      <c r="E53" s="73"/>
      <c r="F53" s="70"/>
      <c r="G53" s="1"/>
      <c r="H53" s="70"/>
    </row>
    <row r="54" spans="1:8">
      <c r="A54" s="49"/>
      <c r="B54" s="18"/>
      <c r="C54" s="44">
        <v>614</v>
      </c>
      <c r="D54" s="45" t="s">
        <v>5</v>
      </c>
      <c r="E54" s="73">
        <f>B46*C54/C57</f>
        <v>390.23238154355477</v>
      </c>
      <c r="F54" s="70"/>
      <c r="G54" s="1"/>
    </row>
    <row r="55" spans="1:8">
      <c r="A55" s="49"/>
      <c r="B55" s="18"/>
      <c r="C55" s="44"/>
      <c r="D55" s="45"/>
      <c r="E55" s="73"/>
      <c r="F55" s="70"/>
      <c r="G55" s="1"/>
    </row>
    <row r="56" spans="1:8">
      <c r="A56" s="49"/>
      <c r="B56" s="18"/>
      <c r="C56" s="44">
        <v>494</v>
      </c>
      <c r="D56" s="45" t="s">
        <v>120</v>
      </c>
      <c r="E56" s="73">
        <f>B46*C56/C57</f>
        <v>313.96546658390236</v>
      </c>
      <c r="F56" s="70"/>
      <c r="G56" s="1"/>
    </row>
    <row r="57" spans="1:8">
      <c r="A57" s="49"/>
      <c r="B57" s="18"/>
      <c r="C57" s="48">
        <f>SUM(C46:C56)</f>
        <v>4833</v>
      </c>
      <c r="D57" s="45"/>
      <c r="E57" s="277">
        <f>SUM(E46:E56)</f>
        <v>3071.6500000000005</v>
      </c>
      <c r="F57" s="70"/>
      <c r="G57" s="1"/>
    </row>
    <row r="58" spans="1:8">
      <c r="A58" s="49"/>
      <c r="B58" s="18"/>
      <c r="C58" s="48"/>
      <c r="D58" s="45"/>
      <c r="E58" s="26"/>
      <c r="F58" s="70"/>
      <c r="G58" s="1"/>
    </row>
    <row r="59" spans="1:8">
      <c r="A59" s="49"/>
      <c r="B59" s="18"/>
      <c r="C59" s="48"/>
      <c r="D59" s="45"/>
      <c r="E59" s="26"/>
      <c r="F59" s="70"/>
      <c r="G59" s="1"/>
    </row>
    <row r="60" spans="1:8">
      <c r="A60" s="44" t="s">
        <v>119</v>
      </c>
      <c r="B60" s="231">
        <v>959.87</v>
      </c>
      <c r="C60" s="44">
        <v>1511</v>
      </c>
      <c r="D60" s="45" t="s">
        <v>0</v>
      </c>
      <c r="E60" s="73">
        <f>B60*C60/C71</f>
        <v>300.09591764949306</v>
      </c>
      <c r="F60" s="70"/>
      <c r="G60" s="1"/>
      <c r="H60" s="70"/>
    </row>
    <row r="61" spans="1:8">
      <c r="A61" s="44"/>
      <c r="B61" s="231"/>
      <c r="C61" s="44"/>
      <c r="D61" s="45"/>
      <c r="E61" s="73"/>
      <c r="F61" s="70"/>
      <c r="G61" s="1"/>
      <c r="H61" s="70"/>
    </row>
    <row r="62" spans="1:8">
      <c r="A62" s="45" t="s">
        <v>121</v>
      </c>
      <c r="B62" s="73"/>
      <c r="C62" s="44">
        <v>1215</v>
      </c>
      <c r="D62" s="45" t="s">
        <v>29</v>
      </c>
      <c r="E62" s="73">
        <f>B60*C62/C71</f>
        <v>241.30810055865922</v>
      </c>
      <c r="G62" s="1"/>
      <c r="H62" s="70"/>
    </row>
    <row r="63" spans="1:8">
      <c r="A63" s="46"/>
      <c r="B63" s="26"/>
      <c r="C63" s="44"/>
      <c r="D63" s="45"/>
      <c r="E63" s="73"/>
    </row>
    <row r="64" spans="1:8">
      <c r="A64" s="18"/>
      <c r="B64" s="73"/>
      <c r="C64" s="44">
        <v>499</v>
      </c>
      <c r="D64" s="45" t="s">
        <v>2</v>
      </c>
      <c r="E64" s="73">
        <f>B60*C64/C71</f>
        <v>99.105137595696249</v>
      </c>
    </row>
    <row r="65" spans="1:5">
      <c r="A65" s="18"/>
      <c r="B65" s="18"/>
      <c r="C65" s="44"/>
      <c r="D65" s="45"/>
      <c r="E65" s="73"/>
    </row>
    <row r="66" spans="1:5">
      <c r="A66" s="18"/>
      <c r="B66" s="196"/>
      <c r="C66" s="44">
        <v>500</v>
      </c>
      <c r="D66" s="45" t="s">
        <v>3</v>
      </c>
      <c r="E66" s="73">
        <f>B60*C66/C71</f>
        <v>99.303745085867988</v>
      </c>
    </row>
    <row r="67" spans="1:5">
      <c r="A67" s="50"/>
      <c r="B67" s="18"/>
      <c r="C67" s="44"/>
      <c r="D67" s="45"/>
      <c r="E67" s="73"/>
    </row>
    <row r="68" spans="1:5">
      <c r="A68" s="52"/>
      <c r="B68" s="18"/>
      <c r="C68" s="44">
        <v>614</v>
      </c>
      <c r="D68" s="45" t="s">
        <v>5</v>
      </c>
      <c r="E68" s="73">
        <f>B60*C68/C71</f>
        <v>121.9449989654459</v>
      </c>
    </row>
    <row r="69" spans="1:5" ht="15.75">
      <c r="A69" s="18"/>
      <c r="B69" s="275"/>
      <c r="C69" s="44"/>
      <c r="D69" s="44"/>
      <c r="E69" s="73"/>
    </row>
    <row r="70" spans="1:5" ht="15.75">
      <c r="A70" s="275"/>
      <c r="B70" s="44"/>
      <c r="C70" s="44">
        <v>494</v>
      </c>
      <c r="D70" s="276" t="s">
        <v>120</v>
      </c>
      <c r="E70" s="73">
        <f>B60*C70/C71</f>
        <v>98.112100144837584</v>
      </c>
    </row>
    <row r="71" spans="1:5">
      <c r="A71" s="44"/>
      <c r="B71" s="53"/>
      <c r="C71" s="48">
        <f>SUM(C60:C70)</f>
        <v>4833</v>
      </c>
      <c r="D71" s="45"/>
      <c r="E71" s="277">
        <f>SUM(E60:E70)</f>
        <v>959.86999999999989</v>
      </c>
    </row>
    <row r="72" spans="1:5" ht="11.25" customHeight="1">
      <c r="A72" s="9"/>
      <c r="C72" s="9"/>
      <c r="D72" s="9"/>
      <c r="E72" s="1"/>
    </row>
    <row r="73" spans="1:5">
      <c r="A73" s="9"/>
      <c r="B73" s="10"/>
      <c r="C73" s="9"/>
      <c r="D73" s="9"/>
      <c r="E73" s="296">
        <f>E15+E29+E43+E57+E71</f>
        <v>21084.140000000003</v>
      </c>
    </row>
    <row r="74" spans="1:5" ht="11.25" customHeight="1">
      <c r="A74" s="9"/>
      <c r="B74" s="9"/>
      <c r="C74" s="9"/>
      <c r="D74" s="9"/>
      <c r="E74" s="1"/>
    </row>
    <row r="75" spans="1:5">
      <c r="A75" s="44" t="s">
        <v>154</v>
      </c>
      <c r="B75" s="231">
        <v>479.05</v>
      </c>
      <c r="C75" s="44">
        <v>1511</v>
      </c>
      <c r="D75" s="45" t="s">
        <v>0</v>
      </c>
      <c r="E75" s="73">
        <f>B75*C75/C86</f>
        <v>149.77127043244363</v>
      </c>
    </row>
    <row r="76" spans="1:5" ht="14.25" customHeight="1">
      <c r="A76" s="44" t="s">
        <v>155</v>
      </c>
      <c r="B76" s="231"/>
      <c r="C76" s="44"/>
      <c r="D76" s="45"/>
      <c r="E76" s="73"/>
    </row>
    <row r="77" spans="1:5">
      <c r="A77" s="45" t="s">
        <v>62</v>
      </c>
      <c r="B77" s="73"/>
      <c r="C77" s="44">
        <v>1215</v>
      </c>
      <c r="D77" s="45" t="s">
        <v>29</v>
      </c>
      <c r="E77" s="73">
        <f>B75*C77/C86</f>
        <v>120.43156424581005</v>
      </c>
    </row>
    <row r="78" spans="1:5" ht="11.25" customHeight="1">
      <c r="A78" s="49"/>
      <c r="B78" s="26"/>
      <c r="C78" s="44"/>
      <c r="D78" s="45"/>
      <c r="E78" s="73"/>
    </row>
    <row r="79" spans="1:5">
      <c r="A79" s="49"/>
      <c r="B79" s="73"/>
      <c r="C79" s="44">
        <v>499</v>
      </c>
      <c r="D79" s="45" t="s">
        <v>2</v>
      </c>
      <c r="E79" s="73">
        <f>B75*C79/C86</f>
        <v>49.46119387543969</v>
      </c>
    </row>
    <row r="80" spans="1:5">
      <c r="A80" s="49"/>
      <c r="B80" s="18"/>
      <c r="C80" s="44"/>
      <c r="D80" s="45"/>
      <c r="E80" s="73"/>
    </row>
    <row r="81" spans="1:5">
      <c r="A81" s="49"/>
      <c r="B81" s="196"/>
      <c r="C81" s="44">
        <v>500</v>
      </c>
      <c r="D81" s="45" t="s">
        <v>3</v>
      </c>
      <c r="E81" s="73">
        <f>B75*C81/C86</f>
        <v>49.560314504448584</v>
      </c>
    </row>
    <row r="82" spans="1:5">
      <c r="A82" s="49"/>
      <c r="B82" s="18"/>
      <c r="C82" s="44"/>
      <c r="D82" s="45"/>
      <c r="E82" s="73"/>
    </row>
    <row r="83" spans="1:5">
      <c r="A83" s="49"/>
      <c r="B83" s="18"/>
      <c r="C83" s="44">
        <v>614</v>
      </c>
      <c r="D83" s="45" t="s">
        <v>5</v>
      </c>
      <c r="E83" s="73">
        <f>B75*C83/C86</f>
        <v>60.860066211462865</v>
      </c>
    </row>
    <row r="84" spans="1:5">
      <c r="A84" s="49"/>
      <c r="B84" s="18"/>
      <c r="C84" s="44"/>
      <c r="D84" s="45"/>
      <c r="E84" s="73"/>
    </row>
    <row r="85" spans="1:5">
      <c r="A85" s="49"/>
      <c r="B85" s="18"/>
      <c r="C85" s="44">
        <v>494</v>
      </c>
      <c r="D85" s="45" t="s">
        <v>120</v>
      </c>
      <c r="E85" s="73">
        <f>B75*C85/C86</f>
        <v>48.965590730395199</v>
      </c>
    </row>
    <row r="86" spans="1:5">
      <c r="A86" s="49"/>
      <c r="B86" s="18"/>
      <c r="C86" s="48">
        <f>SUM(C75:C85)</f>
        <v>4833</v>
      </c>
      <c r="D86" s="45"/>
      <c r="E86" s="277">
        <f>SUM(E75:E85)</f>
        <v>479.05</v>
      </c>
    </row>
  </sheetData>
  <phoneticPr fontId="0" type="noConversion"/>
  <pageMargins left="0.7" right="0.7" top="0.75" bottom="0.75" header="0.3" footer="0.3"/>
  <pageSetup paperSize="9" scale="3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4"/>
  <sheetViews>
    <sheetView topLeftCell="A4" workbookViewId="0">
      <selection activeCell="N6" sqref="N6:N9"/>
    </sheetView>
  </sheetViews>
  <sheetFormatPr defaultRowHeight="15"/>
  <cols>
    <col min="1" max="1" width="13" customWidth="1"/>
    <col min="2" max="2" width="11.85546875" customWidth="1"/>
    <col min="3" max="3" width="1.5703125" customWidth="1"/>
    <col min="4" max="4" width="13.140625" customWidth="1"/>
    <col min="5" max="5" width="1.7109375" customWidth="1"/>
    <col min="6" max="6" width="12.140625" customWidth="1"/>
    <col min="7" max="7" width="16.42578125" customWidth="1"/>
    <col min="8" max="8" width="14.42578125" customWidth="1"/>
    <col min="9" max="9" width="15.42578125" style="72" customWidth="1"/>
    <col min="10" max="10" width="12.42578125" customWidth="1"/>
    <col min="11" max="11" width="11.85546875" customWidth="1"/>
    <col min="12" max="12" width="0.28515625" customWidth="1"/>
    <col min="13" max="13" width="11.7109375" customWidth="1"/>
    <col min="14" max="14" width="3.42578125" customWidth="1"/>
    <col min="15" max="15" width="12.140625" customWidth="1"/>
  </cols>
  <sheetData>
    <row r="2" spans="1:15" ht="21">
      <c r="A2" s="30" t="s">
        <v>40</v>
      </c>
    </row>
    <row r="4" spans="1:15" ht="60">
      <c r="A4" s="17"/>
      <c r="B4" s="17" t="s">
        <v>115</v>
      </c>
      <c r="C4" s="17"/>
      <c r="D4" s="17" t="s">
        <v>124</v>
      </c>
      <c r="E4" s="17"/>
      <c r="F4" s="17" t="s">
        <v>125</v>
      </c>
      <c r="G4" s="17" t="s">
        <v>126</v>
      </c>
      <c r="H4" s="17" t="s">
        <v>127</v>
      </c>
      <c r="I4" s="17" t="s">
        <v>145</v>
      </c>
      <c r="J4" s="17" t="s">
        <v>128</v>
      </c>
      <c r="K4" s="17" t="s">
        <v>146</v>
      </c>
      <c r="L4" s="29" t="s">
        <v>45</v>
      </c>
      <c r="M4" s="17" t="s">
        <v>144</v>
      </c>
      <c r="N4" s="18"/>
      <c r="O4" s="19" t="s">
        <v>41</v>
      </c>
    </row>
    <row r="5" spans="1:15">
      <c r="A5" s="18"/>
      <c r="B5" s="18"/>
      <c r="C5" s="18"/>
      <c r="D5" s="18"/>
      <c r="E5" s="18"/>
      <c r="F5" s="18"/>
      <c r="G5" s="18"/>
      <c r="H5" s="18"/>
      <c r="I5" s="216"/>
      <c r="J5" s="18"/>
      <c r="K5" s="18"/>
      <c r="L5" s="18"/>
      <c r="M5" s="18"/>
      <c r="N5" s="18"/>
      <c r="O5" s="20"/>
    </row>
    <row r="6" spans="1:15">
      <c r="A6" s="21" t="s">
        <v>0</v>
      </c>
      <c r="B6" s="67">
        <f ca="1">MENSA!B58</f>
        <v>-25640.412704761904</v>
      </c>
      <c r="C6" s="18"/>
      <c r="D6" s="67">
        <f ca="1">+SCUOLABUS!B41</f>
        <v>-3803.8715384615375</v>
      </c>
      <c r="E6" s="18"/>
      <c r="F6" s="215">
        <f ca="1">+'SPESE PER SCUOLE'!B46</f>
        <v>2313.6971809523848</v>
      </c>
      <c r="G6" s="215">
        <f ca="1">+'SPESE GENERALI '!D26</f>
        <v>8852.3634243740944</v>
      </c>
      <c r="H6" s="196">
        <f ca="1">+DOPOSCUOLA!B27</f>
        <v>390.09090909090907</v>
      </c>
      <c r="I6" s="217"/>
      <c r="J6" s="196">
        <f ca="1">+'PERSONALE 2018'!H7</f>
        <v>5691.8966418712243</v>
      </c>
      <c r="K6" s="23"/>
      <c r="L6" s="23"/>
      <c r="M6" s="24"/>
      <c r="N6" s="27"/>
      <c r="O6" s="305">
        <f>SUM(B6:N6)</f>
        <v>-12196.236086934829</v>
      </c>
    </row>
    <row r="7" spans="1:15">
      <c r="A7" s="21"/>
      <c r="B7" s="18"/>
      <c r="C7" s="18"/>
      <c r="D7" s="18"/>
      <c r="E7" s="18"/>
      <c r="F7" s="23"/>
      <c r="G7" s="18"/>
      <c r="H7" s="44"/>
      <c r="I7" s="217"/>
      <c r="J7" s="18"/>
      <c r="K7" s="18"/>
      <c r="L7" s="18"/>
      <c r="M7" s="18"/>
      <c r="N7" s="62"/>
      <c r="O7" s="20"/>
    </row>
    <row r="8" spans="1:15">
      <c r="A8" s="21" t="s">
        <v>29</v>
      </c>
      <c r="B8" s="26">
        <f ca="1">+MENSA!B66</f>
        <v>0</v>
      </c>
      <c r="C8" s="18"/>
      <c r="D8" s="196">
        <f ca="1">+SCUOLABUS!B49</f>
        <v>391.95338461538461</v>
      </c>
      <c r="E8" s="18"/>
      <c r="F8" s="73">
        <f ca="1">+'SPESE PER SCUOLE'!B54</f>
        <v>164.57999999999998</v>
      </c>
      <c r="G8" s="73">
        <f ca="1">+'SPESE GENERALI '!D30</f>
        <v>7314.1108938547486</v>
      </c>
      <c r="H8" s="196">
        <f ca="1">+DOPOSCUOLA!F15</f>
        <v>0</v>
      </c>
      <c r="I8" s="217"/>
      <c r="J8" s="215">
        <f ca="1">+'PERSONALE 2018'!H9</f>
        <v>5908.99018522405</v>
      </c>
      <c r="K8" s="23"/>
      <c r="L8" s="27"/>
      <c r="M8" s="18"/>
      <c r="N8" s="341"/>
      <c r="O8" s="28">
        <f>SUM(B8:N8)</f>
        <v>13779.634463694183</v>
      </c>
    </row>
    <row r="9" spans="1:15">
      <c r="A9" s="21"/>
      <c r="B9" s="18"/>
      <c r="C9" s="18"/>
      <c r="D9" s="18"/>
      <c r="E9" s="18"/>
      <c r="F9" s="44"/>
      <c r="G9" s="73"/>
      <c r="H9" s="44"/>
      <c r="I9" s="217"/>
      <c r="J9" s="18"/>
      <c r="K9" s="18"/>
      <c r="L9" s="18"/>
      <c r="M9" s="18"/>
      <c r="N9" s="62"/>
      <c r="O9" s="20"/>
    </row>
    <row r="10" spans="1:15">
      <c r="A10" s="21" t="s">
        <v>2</v>
      </c>
      <c r="B10" s="73">
        <f ca="1">+MENSA!B60</f>
        <v>8841.837161904763</v>
      </c>
      <c r="C10" s="18"/>
      <c r="D10" s="215">
        <f ca="1">+SCUOLABUS!B43</f>
        <v>4931.5280000000002</v>
      </c>
      <c r="E10" s="18"/>
      <c r="F10" s="196">
        <f ca="1">+'SPESE PER SCUOLE'!B48</f>
        <v>1512.8246476190468</v>
      </c>
      <c r="G10" s="73">
        <f ca="1">+'SPESE GENERALI '!D27</f>
        <v>3593.2027457066001</v>
      </c>
      <c r="H10" s="196">
        <f ca="1">+DOPOSCUOLA!B29</f>
        <v>139.31818181818181</v>
      </c>
      <c r="I10" s="217"/>
      <c r="J10" s="67">
        <f ca="1">+'PERSONALE 2018'!H11</f>
        <v>-11507.150162611686</v>
      </c>
      <c r="K10" s="18"/>
      <c r="L10" s="18"/>
      <c r="M10" s="18"/>
      <c r="N10" s="18"/>
      <c r="O10" s="28">
        <f>SUM(B10:N10)</f>
        <v>7511.5605744369041</v>
      </c>
    </row>
    <row r="11" spans="1:15">
      <c r="A11" s="21"/>
      <c r="B11" s="18"/>
      <c r="C11" s="18"/>
      <c r="D11" s="18"/>
      <c r="E11" s="18"/>
      <c r="F11" s="44"/>
      <c r="G11" s="73"/>
      <c r="H11" s="44"/>
      <c r="I11" s="217"/>
      <c r="J11" s="18"/>
      <c r="K11" s="18"/>
      <c r="L11" s="18"/>
      <c r="M11" s="18"/>
      <c r="N11" s="18"/>
      <c r="O11" s="20"/>
    </row>
    <row r="12" spans="1:15">
      <c r="A12" s="21" t="s">
        <v>3</v>
      </c>
      <c r="B12" s="196">
        <f ca="1">+MENSA!B62</f>
        <v>1330.9365523809527</v>
      </c>
      <c r="C12" s="18"/>
      <c r="D12" s="196">
        <f ca="1">+SCUOLABUS!B45</f>
        <v>3654.198435897436</v>
      </c>
      <c r="E12" s="18"/>
      <c r="F12" s="196">
        <f ca="1">+'SPESE PER SCUOLE'!B50</f>
        <v>3902.0902095238089</v>
      </c>
      <c r="G12" s="73">
        <f ca="1">+'SPESE GENERALI '!D28</f>
        <v>3598.3995447961929</v>
      </c>
      <c r="H12" s="196">
        <f ca="1">+DOPOSCUOLA!B31</f>
        <v>1787.590909090909</v>
      </c>
      <c r="I12" s="218"/>
      <c r="J12" s="196">
        <f ca="1">+'PERSONALE 2018'!H13</f>
        <v>2431.6832037959052</v>
      </c>
      <c r="K12" s="18"/>
      <c r="L12" s="18"/>
      <c r="M12" s="18"/>
      <c r="N12" s="18"/>
      <c r="O12" s="28">
        <f>SUM(B12:N12)</f>
        <v>16704.898855485208</v>
      </c>
    </row>
    <row r="13" spans="1:15">
      <c r="A13" s="21"/>
      <c r="B13" s="18"/>
      <c r="C13" s="18"/>
      <c r="D13" s="18"/>
      <c r="E13" s="18"/>
      <c r="F13" s="44"/>
      <c r="G13" s="73"/>
      <c r="H13" s="44"/>
      <c r="I13" s="217"/>
      <c r="J13" s="18"/>
      <c r="K13" s="18"/>
      <c r="L13" s="18"/>
      <c r="M13" s="18"/>
      <c r="N13" s="18"/>
      <c r="O13" s="20"/>
    </row>
    <row r="14" spans="1:15">
      <c r="A14" s="21" t="s">
        <v>5</v>
      </c>
      <c r="B14" s="76">
        <f ca="1">+MENSA!B64</f>
        <v>2096.5389904761905</v>
      </c>
      <c r="C14" s="18"/>
      <c r="D14" s="196">
        <f ca="1">+SCUOLABUS!B47</f>
        <v>2442.161717948718</v>
      </c>
      <c r="E14" s="18"/>
      <c r="F14" s="73">
        <f ca="1">+'SPESE PER SCUOLE'!B52</f>
        <v>982.27796190476181</v>
      </c>
      <c r="G14" s="73">
        <f ca="1">+'SPESE GENERALI '!D29</f>
        <v>3190.8346410097247</v>
      </c>
      <c r="H14" s="196">
        <f ca="1">+DOPOSCUOLA!F21</f>
        <v>0</v>
      </c>
      <c r="I14" s="217"/>
      <c r="J14" s="196">
        <f ca="1">+'PERSONALE 2018'!H17</f>
        <v>1045.0569742613718</v>
      </c>
      <c r="K14" s="18"/>
      <c r="L14" s="18"/>
      <c r="M14" s="18"/>
      <c r="N14" s="18"/>
      <c r="O14" s="28">
        <f>SUM(B14:N14)</f>
        <v>9756.8702856007676</v>
      </c>
    </row>
    <row r="15" spans="1:15">
      <c r="A15" s="21"/>
      <c r="B15" s="26"/>
      <c r="C15" s="18"/>
      <c r="D15" s="23"/>
      <c r="E15" s="18"/>
      <c r="F15" s="26"/>
      <c r="G15" s="44"/>
      <c r="H15" s="18"/>
      <c r="I15" s="216"/>
      <c r="J15" s="23"/>
      <c r="K15" s="18"/>
      <c r="L15" s="18"/>
      <c r="M15" s="18"/>
      <c r="N15" s="18"/>
      <c r="O15" s="25"/>
    </row>
    <row r="16" spans="1:15">
      <c r="A16" s="21" t="s">
        <v>120</v>
      </c>
      <c r="B16" s="26"/>
      <c r="C16" s="18"/>
      <c r="D16" s="23"/>
      <c r="E16" s="18"/>
      <c r="F16" s="26"/>
      <c r="G16" s="196">
        <f ca="1">+'SPESE GENERALI '!D31</f>
        <v>2567.2187502586385</v>
      </c>
      <c r="H16" s="196">
        <f ca="1">+DOPOSCUOLA!F23</f>
        <v>0</v>
      </c>
      <c r="I16" s="216"/>
      <c r="J16" s="67">
        <f ca="1">+'PERSONALE 2018'!H15</f>
        <v>-3570.4768425408647</v>
      </c>
      <c r="K16" s="18"/>
      <c r="L16" s="18"/>
      <c r="M16" s="18"/>
      <c r="N16" s="18"/>
      <c r="O16" s="305">
        <f>SUM(B16:N16)</f>
        <v>-1003.2580922822262</v>
      </c>
    </row>
    <row r="17" spans="1:15">
      <c r="B17" s="316">
        <f t="shared" ref="B17:G17" si="0">SUM(B6:B16)</f>
        <v>-13371.1</v>
      </c>
      <c r="C17" s="316">
        <f t="shared" si="0"/>
        <v>0</v>
      </c>
      <c r="D17" s="316">
        <f t="shared" si="0"/>
        <v>7615.9700000000012</v>
      </c>
      <c r="E17" s="316">
        <f t="shared" si="0"/>
        <v>0</v>
      </c>
      <c r="F17" s="316">
        <f t="shared" si="0"/>
        <v>8875.470000000003</v>
      </c>
      <c r="G17" s="316">
        <f t="shared" si="0"/>
        <v>29116.13</v>
      </c>
      <c r="H17" s="316">
        <f t="shared" ref="H17:O17" si="1">SUM(H6:H16)</f>
        <v>2317</v>
      </c>
      <c r="I17" s="316">
        <f t="shared" si="1"/>
        <v>0</v>
      </c>
      <c r="J17" s="316">
        <f t="shared" si="1"/>
        <v>0</v>
      </c>
      <c r="K17" s="316">
        <f t="shared" si="1"/>
        <v>0</v>
      </c>
      <c r="L17" s="316">
        <f t="shared" si="1"/>
        <v>0</v>
      </c>
      <c r="M17" s="316">
        <f t="shared" si="1"/>
        <v>0</v>
      </c>
      <c r="N17" s="69"/>
      <c r="O17" s="316">
        <f t="shared" si="1"/>
        <v>34553.470000000008</v>
      </c>
    </row>
    <row r="18" spans="1:15" s="222" customFormat="1">
      <c r="A18" s="221"/>
      <c r="B18" s="219"/>
      <c r="C18" s="219"/>
      <c r="D18" s="219"/>
      <c r="E18" s="219"/>
      <c r="F18" s="219"/>
      <c r="G18" s="219"/>
      <c r="H18" s="219"/>
      <c r="I18" s="220"/>
      <c r="J18" s="219"/>
      <c r="K18" s="219"/>
      <c r="L18" s="219"/>
      <c r="M18" s="81"/>
      <c r="N18" s="219"/>
      <c r="O18" s="219"/>
    </row>
    <row r="19" spans="1:15" s="222" customFormat="1">
      <c r="A19" s="221"/>
      <c r="B19" s="219"/>
      <c r="C19" s="219"/>
      <c r="D19" s="219"/>
      <c r="E19" s="219"/>
      <c r="F19" s="219"/>
      <c r="G19" s="219"/>
      <c r="H19" s="219"/>
      <c r="I19" s="220"/>
      <c r="J19" s="219"/>
      <c r="K19" s="219"/>
      <c r="L19" s="219"/>
      <c r="M19" s="219"/>
      <c r="N19" s="219"/>
      <c r="O19" s="219"/>
    </row>
    <row r="20" spans="1:15" s="222" customFormat="1">
      <c r="B20" s="219"/>
      <c r="C20" s="219"/>
      <c r="D20" s="219"/>
      <c r="E20" s="219"/>
      <c r="F20" s="219"/>
      <c r="G20" s="219"/>
      <c r="H20" s="219"/>
      <c r="I20" s="220"/>
      <c r="J20" s="219"/>
      <c r="K20" s="219"/>
      <c r="L20" s="219"/>
      <c r="M20" s="219"/>
      <c r="N20" s="219"/>
      <c r="O20" s="219"/>
    </row>
    <row r="21" spans="1:15" s="222" customFormat="1" ht="31.5" customHeight="1">
      <c r="A21" s="221"/>
      <c r="B21" s="346"/>
      <c r="C21" s="346"/>
      <c r="D21" s="346"/>
      <c r="E21" s="346"/>
      <c r="F21" s="346"/>
      <c r="G21" s="346"/>
      <c r="H21" s="346"/>
      <c r="I21" s="346"/>
      <c r="J21" s="346"/>
      <c r="K21" s="346"/>
      <c r="L21" s="346"/>
      <c r="M21" s="346"/>
      <c r="N21" s="346"/>
      <c r="O21" s="346"/>
    </row>
    <row r="22" spans="1:15" s="222" customFormat="1">
      <c r="I22" s="223"/>
    </row>
    <row r="23" spans="1:15" s="222" customFormat="1">
      <c r="I23" s="223"/>
    </row>
    <row r="24" spans="1:15" s="222" customFormat="1">
      <c r="A24" s="221"/>
      <c r="I24" s="223"/>
    </row>
  </sheetData>
  <mergeCells count="1">
    <mergeCell ref="B21:O21"/>
  </mergeCells>
  <phoneticPr fontId="0" type="noConversion"/>
  <pageMargins left="0.25" right="0.25" top="0.75" bottom="0.75" header="0.3" footer="0.3"/>
  <pageSetup paperSize="9" scale="9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21"/>
  <sheetViews>
    <sheetView workbookViewId="0">
      <selection activeCell="D25" sqref="D25"/>
    </sheetView>
  </sheetViews>
  <sheetFormatPr defaultRowHeight="15"/>
  <cols>
    <col min="1" max="1" width="27.7109375" customWidth="1"/>
    <col min="2" max="2" width="12" customWidth="1"/>
    <col min="3" max="3" width="5.42578125" customWidth="1"/>
    <col min="4" max="4" width="14.7109375" customWidth="1"/>
    <col min="5" max="5" width="10.28515625" customWidth="1"/>
    <col min="6" max="6" width="13.5703125" customWidth="1"/>
    <col min="7" max="7" width="15.7109375" customWidth="1"/>
    <col min="8" max="8" width="13.5703125" customWidth="1"/>
  </cols>
  <sheetData>
    <row r="2" spans="1:11" ht="18.75">
      <c r="A2" s="5" t="s">
        <v>153</v>
      </c>
    </row>
    <row r="3" spans="1:11" ht="18.75">
      <c r="A3" s="5"/>
    </row>
    <row r="4" spans="1:11" ht="18.75">
      <c r="A4" s="31" t="s">
        <v>168</v>
      </c>
      <c r="B4" s="12"/>
      <c r="C4" s="12"/>
      <c r="D4" s="12"/>
      <c r="E4" s="12"/>
      <c r="F4" s="12"/>
    </row>
    <row r="5" spans="1:11" ht="18.75">
      <c r="A5" s="31"/>
      <c r="B5" s="12"/>
      <c r="C5" s="12"/>
      <c r="D5" s="12"/>
      <c r="E5" s="12"/>
      <c r="F5" s="12"/>
    </row>
    <row r="6" spans="1:11">
      <c r="A6" s="32"/>
      <c r="B6" s="12"/>
      <c r="C6" s="12"/>
      <c r="D6" s="12"/>
      <c r="E6" s="12"/>
      <c r="F6" s="12"/>
    </row>
    <row r="7" spans="1:11">
      <c r="A7" s="13"/>
    </row>
    <row r="8" spans="1:11">
      <c r="A8" s="13" t="s">
        <v>54</v>
      </c>
    </row>
    <row r="9" spans="1:11">
      <c r="A9" s="13"/>
      <c r="B9" s="6"/>
      <c r="D9" s="4"/>
      <c r="E9" s="6"/>
    </row>
    <row r="10" spans="1:11" ht="45" customHeight="1">
      <c r="A10" s="33" t="s">
        <v>55</v>
      </c>
      <c r="B10" s="34" t="s">
        <v>56</v>
      </c>
      <c r="C10" s="33"/>
      <c r="D10" s="38" t="s">
        <v>60</v>
      </c>
      <c r="E10" s="40"/>
      <c r="F10" s="39" t="s">
        <v>61</v>
      </c>
      <c r="G10" s="41" t="s">
        <v>159</v>
      </c>
      <c r="H10" s="41" t="s">
        <v>160</v>
      </c>
    </row>
    <row r="11" spans="1:11">
      <c r="A11" s="224" t="s">
        <v>59</v>
      </c>
      <c r="B11" s="225">
        <v>1511</v>
      </c>
      <c r="C11" s="44"/>
      <c r="D11" s="201">
        <f>D18/B18*B11</f>
        <v>16976.549896289467</v>
      </c>
      <c r="E11" s="73"/>
      <c r="F11" s="67">
        <f ca="1">+RIEPILOGO!O6</f>
        <v>-12196.236086934829</v>
      </c>
      <c r="G11" s="215">
        <f>+D11-F11</f>
        <v>29172.785983224298</v>
      </c>
      <c r="H11" s="196"/>
      <c r="K11" s="1"/>
    </row>
    <row r="12" spans="1:11">
      <c r="A12" s="224" t="s">
        <v>57</v>
      </c>
      <c r="B12" s="225">
        <v>1215</v>
      </c>
      <c r="C12" s="44"/>
      <c r="D12" s="201">
        <f>D18/B18*B12</f>
        <v>13650.898824613965</v>
      </c>
      <c r="E12" s="73"/>
      <c r="F12" s="215">
        <f ca="1">+RIEPILOGO!O8</f>
        <v>13779.634463694183</v>
      </c>
      <c r="G12" s="215"/>
      <c r="H12" s="67">
        <f>+D12-F12</f>
        <v>-128.73563908021788</v>
      </c>
      <c r="K12" s="1"/>
    </row>
    <row r="13" spans="1:11">
      <c r="A13" s="224" t="s">
        <v>2</v>
      </c>
      <c r="B13" s="225">
        <v>499</v>
      </c>
      <c r="C13" s="44"/>
      <c r="D13" s="201">
        <f>D18/B18*B13</f>
        <v>5606.4185296151181</v>
      </c>
      <c r="E13" s="73"/>
      <c r="F13" s="215">
        <f ca="1">RIEPILOGO!O10</f>
        <v>7511.5605744369041</v>
      </c>
      <c r="G13" s="215"/>
      <c r="H13" s="67">
        <f>+D13-F13</f>
        <v>-1905.1420448217859</v>
      </c>
      <c r="K13" s="1"/>
    </row>
    <row r="14" spans="1:11">
      <c r="A14" s="224" t="s">
        <v>58</v>
      </c>
      <c r="B14" s="225">
        <v>500</v>
      </c>
      <c r="C14" s="44"/>
      <c r="D14" s="201">
        <f>D18/B18*B14</f>
        <v>5617.6538372896975</v>
      </c>
      <c r="E14" s="73"/>
      <c r="F14" s="215">
        <f ca="1">RIEPILOGO!O12</f>
        <v>16704.898855485208</v>
      </c>
      <c r="G14" s="215"/>
      <c r="H14" s="67">
        <f>+D14-F14</f>
        <v>-11087.24501819551</v>
      </c>
      <c r="I14" s="246"/>
      <c r="J14" s="246"/>
      <c r="K14" s="1"/>
    </row>
    <row r="15" spans="1:11">
      <c r="A15" s="224" t="s">
        <v>5</v>
      </c>
      <c r="B15" s="225">
        <v>614</v>
      </c>
      <c r="C15" s="44"/>
      <c r="D15" s="201">
        <f>D18/B18*B15</f>
        <v>6898.4789121917493</v>
      </c>
      <c r="E15" s="73"/>
      <c r="F15" s="215">
        <f ca="1">+RIEPILOGO!O14</f>
        <v>9756.8702856007676</v>
      </c>
      <c r="G15" s="215"/>
      <c r="H15" s="67">
        <f>+D15-F15</f>
        <v>-2858.3913734090183</v>
      </c>
      <c r="K15" s="235"/>
    </row>
    <row r="16" spans="1:11">
      <c r="A16" s="226" t="s">
        <v>120</v>
      </c>
      <c r="B16" s="227"/>
      <c r="C16" s="44"/>
      <c r="D16" s="201">
        <f>D18/B18*B16</f>
        <v>0</v>
      </c>
      <c r="E16" s="44"/>
      <c r="F16" s="67">
        <f ca="1">+RIEPILOGO!O16</f>
        <v>-1003.2580922822262</v>
      </c>
      <c r="G16" s="215">
        <f>+D16-F16</f>
        <v>1003.2580922822262</v>
      </c>
      <c r="H16" s="196"/>
      <c r="K16" s="235"/>
    </row>
    <row r="17" spans="1:11">
      <c r="A17" s="36"/>
      <c r="B17" s="36"/>
      <c r="K17" s="1"/>
    </row>
    <row r="18" spans="1:11">
      <c r="A18" s="238" t="s">
        <v>15</v>
      </c>
      <c r="B18" s="239">
        <f>SUM(B11:B17)</f>
        <v>4339</v>
      </c>
      <c r="D18">
        <v>48750</v>
      </c>
    </row>
    <row r="20" spans="1:11">
      <c r="A20" s="16"/>
      <c r="B20" s="16"/>
      <c r="C20" s="16"/>
      <c r="D20" s="16"/>
      <c r="E20" s="16"/>
      <c r="F20" s="16"/>
      <c r="G20" s="16"/>
      <c r="H20" s="16"/>
    </row>
    <row r="21" spans="1:11">
      <c r="A21" t="s">
        <v>169</v>
      </c>
    </row>
  </sheetData>
  <phoneticPr fontId="0" type="noConversion"/>
  <pageMargins left="0.7" right="0.7" top="0.75" bottom="0.75" header="0.3" footer="0.3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9</vt:i4>
      </vt:variant>
    </vt:vector>
  </HeadingPairs>
  <TitlesOfParts>
    <vt:vector size="9" baseType="lpstr">
      <vt:lpstr>ISCRITTI A.S. 2018-2019</vt:lpstr>
      <vt:lpstr>MENSA</vt:lpstr>
      <vt:lpstr>SPESE GENERALI </vt:lpstr>
      <vt:lpstr>SCUOLABUS</vt:lpstr>
      <vt:lpstr>SPESE PER SCUOLE</vt:lpstr>
      <vt:lpstr>DOPOSCUOLA</vt:lpstr>
      <vt:lpstr>PERSONALE 2018</vt:lpstr>
      <vt:lpstr>RIEPILOGO</vt:lpstr>
      <vt:lpstr>IPOTESI DI RIPARTO 48750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Zita Fornaca</dc:creator>
  <cp:lastModifiedBy>alessandro.grigò</cp:lastModifiedBy>
  <cp:lastPrinted>2019-09-19T10:55:56Z</cp:lastPrinted>
  <dcterms:created xsi:type="dcterms:W3CDTF">2017-06-22T08:39:38Z</dcterms:created>
  <dcterms:modified xsi:type="dcterms:W3CDTF">2019-09-19T11:00:41Z</dcterms:modified>
</cp:coreProperties>
</file>